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120" yWindow="180" windowWidth="15270" windowHeight="8715"/>
  </bookViews>
  <sheets>
    <sheet name="report" sheetId="2" r:id="rId1"/>
    <sheet name="input" sheetId="1" r:id="rId2"/>
    <sheet name="calc" sheetId="4" r:id="rId3"/>
  </sheets>
  <definedNames>
    <definedName name="alpha">input!$H$2:$H$31</definedName>
    <definedName name="choice">calc!$B$76:$B$78</definedName>
    <definedName name="eyes">input!$AE$2:$AE$31</definedName>
    <definedName name="_xlnm.Print_Area" localSheetId="1">input!$A$1:$Q$124</definedName>
    <definedName name="probe">input!$C$2:$C$31</definedName>
  </definedNames>
  <calcPr calcId="125725"/>
</workbook>
</file>

<file path=xl/calcChain.xml><?xml version="1.0" encoding="utf-8"?>
<calcChain xmlns="http://schemas.openxmlformats.org/spreadsheetml/2006/main">
  <c r="F67" i="2"/>
  <c r="B67" i="4"/>
  <c r="B17"/>
  <c r="F42" i="2" l="1"/>
  <c r="F53"/>
  <c r="F38"/>
  <c r="F51"/>
  <c r="A64"/>
  <c r="F25"/>
  <c r="A20"/>
  <c r="B19" i="4"/>
  <c r="F64" i="2"/>
  <c r="A49"/>
  <c r="B58" i="4"/>
  <c r="B45"/>
  <c r="B56" i="2" s="1"/>
  <c r="F50"/>
  <c r="C56" l="1"/>
  <c r="B62" i="4"/>
  <c r="F26" i="2"/>
  <c r="A16" l="1"/>
  <c r="F49"/>
  <c r="A11"/>
  <c r="F63" l="1"/>
  <c r="F41"/>
  <c r="F54" l="1"/>
  <c r="F28"/>
  <c r="B29" i="4"/>
  <c r="B20"/>
  <c r="B10"/>
  <c r="A13" i="2" l="1"/>
  <c r="A28"/>
  <c r="F60"/>
  <c r="F66" l="1"/>
  <c r="F9"/>
  <c r="B15" i="4"/>
  <c r="P15" s="1"/>
  <c r="B74"/>
  <c r="F68" i="2" s="1"/>
  <c r="B72" i="4"/>
  <c r="B71"/>
  <c r="B68"/>
  <c r="F62" i="2" s="1"/>
  <c r="F61"/>
  <c r="B66" i="4"/>
  <c r="F52" i="2"/>
  <c r="B54" i="4"/>
  <c r="B53"/>
  <c r="C57" i="2" s="1"/>
  <c r="B52"/>
  <c r="B44" i="4"/>
  <c r="B41"/>
  <c r="B55" i="2" s="1"/>
  <c r="B40" i="4"/>
  <c r="B57" i="2" s="1"/>
  <c r="B37" i="4"/>
  <c r="P37" s="1"/>
  <c r="B36"/>
  <c r="P36" s="1"/>
  <c r="B33"/>
  <c r="F40" i="2" s="1"/>
  <c r="B32" i="4"/>
  <c r="B30"/>
  <c r="F37" i="2" s="1"/>
  <c r="B27" i="4"/>
  <c r="F34" i="2" s="1"/>
  <c r="B25" i="4"/>
  <c r="F32" i="2" s="1"/>
  <c r="B24" i="4"/>
  <c r="F31" i="2" s="1"/>
  <c r="B21" i="4"/>
  <c r="P20"/>
  <c r="B16"/>
  <c r="B11"/>
  <c r="F17" i="2"/>
  <c r="B8" i="4"/>
  <c r="F15" i="2" s="1"/>
  <c r="B7" i="4"/>
  <c r="F14" i="2" s="1"/>
  <c r="B5" i="4"/>
  <c r="B2"/>
  <c r="B3"/>
  <c r="A61" i="2"/>
  <c r="A62"/>
  <c r="A63"/>
  <c r="A65"/>
  <c r="A66"/>
  <c r="A67"/>
  <c r="A68"/>
  <c r="A60"/>
  <c r="A48"/>
  <c r="A50"/>
  <c r="A51"/>
  <c r="A52"/>
  <c r="A53"/>
  <c r="A54"/>
  <c r="A55"/>
  <c r="A56"/>
  <c r="A57"/>
  <c r="A47"/>
  <c r="A32"/>
  <c r="A33"/>
  <c r="A34"/>
  <c r="A35"/>
  <c r="A36"/>
  <c r="A37"/>
  <c r="A38"/>
  <c r="A39"/>
  <c r="A40"/>
  <c r="A41"/>
  <c r="A42"/>
  <c r="A43"/>
  <c r="A44"/>
  <c r="A31"/>
  <c r="A10"/>
  <c r="A12"/>
  <c r="A14"/>
  <c r="A15"/>
  <c r="A17"/>
  <c r="A18"/>
  <c r="A19"/>
  <c r="A21"/>
  <c r="A22"/>
  <c r="A23"/>
  <c r="A24"/>
  <c r="A25"/>
  <c r="A26"/>
  <c r="A27"/>
  <c r="A9"/>
  <c r="O67" i="4"/>
  <c r="H61" i="2" s="1"/>
  <c r="E61" s="1"/>
  <c r="O68" i="4"/>
  <c r="H62" i="2" s="1"/>
  <c r="E62" s="1"/>
  <c r="O71" i="4"/>
  <c r="H65" i="2" s="1"/>
  <c r="E65" s="1"/>
  <c r="O72" i="4"/>
  <c r="H66" i="2" s="1"/>
  <c r="E66" s="1"/>
  <c r="O74" i="4"/>
  <c r="H68" i="2" s="1"/>
  <c r="E68" s="1"/>
  <c r="O54" i="4"/>
  <c r="H48" i="2" s="1"/>
  <c r="E48" s="1"/>
  <c r="O57" i="4"/>
  <c r="H51" i="2" s="1"/>
  <c r="E51" s="1"/>
  <c r="O58" i="4"/>
  <c r="H52" i="2" s="1"/>
  <c r="E52" s="1"/>
  <c r="O53" i="4"/>
  <c r="H47" i="2" s="1"/>
  <c r="E47" s="1"/>
  <c r="C32"/>
  <c r="B33"/>
  <c r="C34"/>
  <c r="B35"/>
  <c r="C36"/>
  <c r="C37"/>
  <c r="C38"/>
  <c r="C39"/>
  <c r="C40"/>
  <c r="C41"/>
  <c r="B42"/>
  <c r="C43"/>
  <c r="C44"/>
  <c r="C31"/>
  <c r="O33" i="4"/>
  <c r="H40" i="2" s="1"/>
  <c r="E40" s="1"/>
  <c r="O32" i="4"/>
  <c r="H39" i="2" s="1"/>
  <c r="E39" s="1"/>
  <c r="O30" i="4"/>
  <c r="H37" i="2" s="1"/>
  <c r="E37" s="1"/>
  <c r="O29" i="4"/>
  <c r="H36" i="2" s="1"/>
  <c r="E36" s="1"/>
  <c r="O27" i="4"/>
  <c r="H34" i="2" s="1"/>
  <c r="E34" s="1"/>
  <c r="O25" i="4"/>
  <c r="H32" i="2" s="1"/>
  <c r="E32" s="1"/>
  <c r="O24" i="4"/>
  <c r="H31" i="2" s="1"/>
  <c r="E31" s="1"/>
  <c r="B11"/>
  <c r="B13"/>
  <c r="B20"/>
  <c r="B21"/>
  <c r="B25"/>
  <c r="O3" i="4"/>
  <c r="H10" i="2" s="1"/>
  <c r="E10" s="1"/>
  <c r="O5" i="4"/>
  <c r="H12" i="2" s="1"/>
  <c r="E12" s="1"/>
  <c r="O7" i="4"/>
  <c r="H14" i="2" s="1"/>
  <c r="E14" s="1"/>
  <c r="O8" i="4"/>
  <c r="H15" i="2" s="1"/>
  <c r="E15" s="1"/>
  <c r="O10" i="4"/>
  <c r="H17" i="2" s="1"/>
  <c r="E17" s="1"/>
  <c r="O11" i="4"/>
  <c r="H18" i="2" s="1"/>
  <c r="E18" s="1"/>
  <c r="O16" i="4"/>
  <c r="H23" i="2" s="1"/>
  <c r="E23" s="1"/>
  <c r="O17" i="4"/>
  <c r="H24" i="2" s="1"/>
  <c r="E24" s="1"/>
  <c r="O2" i="4"/>
  <c r="H9" i="2" s="1"/>
  <c r="E9" s="1"/>
  <c r="C10"/>
  <c r="C12"/>
  <c r="C14"/>
  <c r="C15"/>
  <c r="C16"/>
  <c r="C17"/>
  <c r="C18"/>
  <c r="C19"/>
  <c r="C22"/>
  <c r="C23"/>
  <c r="C24"/>
  <c r="C26"/>
  <c r="C27"/>
  <c r="C28"/>
  <c r="F23"/>
  <c r="C55" l="1"/>
  <c r="B61" i="4"/>
  <c r="C6"/>
  <c r="B48" i="2"/>
  <c r="F24"/>
  <c r="C18" i="4"/>
  <c r="O18" s="1"/>
  <c r="H25" i="2" s="1"/>
  <c r="E25" s="1"/>
  <c r="C14" i="4"/>
  <c r="O61"/>
  <c r="B47"/>
  <c r="B54" i="2" s="1"/>
  <c r="B60" i="4"/>
  <c r="F10" i="2"/>
  <c r="C4" i="4"/>
  <c r="P4" s="1"/>
  <c r="B12" i="2"/>
  <c r="P6" i="4"/>
  <c r="F18" i="2"/>
  <c r="F12"/>
  <c r="P19" i="4"/>
  <c r="B43" i="2"/>
  <c r="F27"/>
  <c r="B44"/>
  <c r="P66" i="4"/>
  <c r="F22" i="2"/>
  <c r="F44"/>
  <c r="F43"/>
  <c r="O37" i="4"/>
  <c r="H44" i="2" s="1"/>
  <c r="E44" s="1"/>
  <c r="B73" i="4"/>
  <c r="F65" i="2"/>
  <c r="O36" i="4"/>
  <c r="H43" i="2" s="1"/>
  <c r="E43" s="1"/>
  <c r="B68"/>
  <c r="B31" i="4"/>
  <c r="O31" s="1"/>
  <c r="B34"/>
  <c r="B41" i="2" s="1"/>
  <c r="B47"/>
  <c r="C47"/>
  <c r="C52"/>
  <c r="C48"/>
  <c r="F47"/>
  <c r="F48"/>
  <c r="B63" i="4"/>
  <c r="O63" s="1"/>
  <c r="B69"/>
  <c r="P69" s="1"/>
  <c r="B70"/>
  <c r="P70" s="1"/>
  <c r="O66"/>
  <c r="H60" i="2" s="1"/>
  <c r="E60" s="1"/>
  <c r="B60"/>
  <c r="B66"/>
  <c r="B65"/>
  <c r="B62"/>
  <c r="B61"/>
  <c r="B31"/>
  <c r="B40"/>
  <c r="B39"/>
  <c r="B37"/>
  <c r="B36"/>
  <c r="B34"/>
  <c r="B32"/>
  <c r="F39"/>
  <c r="F36"/>
  <c r="B42" i="4"/>
  <c r="B55"/>
  <c r="B57"/>
  <c r="F21" i="2"/>
  <c r="B9" i="4"/>
  <c r="B12"/>
  <c r="P12" s="1"/>
  <c r="O20"/>
  <c r="H27" i="2" s="1"/>
  <c r="E27" s="1"/>
  <c r="O19" i="4"/>
  <c r="H26" i="2" s="1"/>
  <c r="E26" s="1"/>
  <c r="O15" i="4"/>
  <c r="H22" i="2" s="1"/>
  <c r="E22" s="1"/>
  <c r="B27"/>
  <c r="B26"/>
  <c r="B24"/>
  <c r="B23"/>
  <c r="B22"/>
  <c r="B18"/>
  <c r="B17"/>
  <c r="B15"/>
  <c r="B14"/>
  <c r="B9"/>
  <c r="B10"/>
  <c r="C26" i="4"/>
  <c r="P26" s="1"/>
  <c r="C28"/>
  <c r="P28" s="1"/>
  <c r="B49" i="2" l="1"/>
  <c r="B50"/>
  <c r="P55" i="4"/>
  <c r="C50" i="2"/>
  <c r="P73" i="4"/>
  <c r="O73"/>
  <c r="H67" i="2" s="1"/>
  <c r="E67" s="1"/>
  <c r="O62" i="4"/>
  <c r="H56" i="2" s="1"/>
  <c r="E56" s="1"/>
  <c r="P62" i="4"/>
  <c r="D56" i="2"/>
  <c r="P63" i="4"/>
  <c r="D57" i="2"/>
  <c r="H57"/>
  <c r="E57" s="1"/>
  <c r="P60" i="4"/>
  <c r="O60"/>
  <c r="H54" i="2" s="1"/>
  <c r="E54" s="1"/>
  <c r="D55"/>
  <c r="H55"/>
  <c r="E55" s="1"/>
  <c r="P9" i="4"/>
  <c r="B16" i="2"/>
  <c r="C21"/>
  <c r="P14" i="4"/>
  <c r="O26"/>
  <c r="H33" i="2" s="1"/>
  <c r="E33" s="1"/>
  <c r="P34" i="4"/>
  <c r="O34"/>
  <c r="H41" i="2" s="1"/>
  <c r="E41" s="1"/>
  <c r="O69" i="4"/>
  <c r="H63" i="2" s="1"/>
  <c r="E63" s="1"/>
  <c r="P31" i="4"/>
  <c r="H38" i="2"/>
  <c r="E38" s="1"/>
  <c r="F33"/>
  <c r="O70" i="4"/>
  <c r="H64" i="2" s="1"/>
  <c r="E64" s="1"/>
  <c r="O4" i="4"/>
  <c r="H11" i="2" s="1"/>
  <c r="E11" s="1"/>
  <c r="F16"/>
  <c r="O6" i="4"/>
  <c r="H13" i="2" s="1"/>
  <c r="E13" s="1"/>
  <c r="F19"/>
  <c r="F55"/>
  <c r="B38"/>
  <c r="C35" i="4"/>
  <c r="P35" s="1"/>
  <c r="C13"/>
  <c r="P13" s="1"/>
  <c r="O14"/>
  <c r="H21" i="2" s="1"/>
  <c r="E21" s="1"/>
  <c r="C54"/>
  <c r="B19"/>
  <c r="O9" i="4"/>
  <c r="H16" i="2" s="1"/>
  <c r="E16" s="1"/>
  <c r="B28"/>
  <c r="O21" i="4"/>
  <c r="H28" i="2" s="1"/>
  <c r="E28" s="1"/>
  <c r="O12" i="4"/>
  <c r="H19" i="2" s="1"/>
  <c r="E19" s="1"/>
  <c r="B59" i="4"/>
  <c r="C51" i="2"/>
  <c r="C56" i="4"/>
  <c r="P56" s="1"/>
  <c r="O55"/>
  <c r="H49" i="2" s="1"/>
  <c r="E49" s="1"/>
  <c r="C49"/>
  <c r="B46" i="4"/>
  <c r="B53" i="2" s="1"/>
  <c r="B51"/>
  <c r="F56"/>
  <c r="F57"/>
  <c r="B67"/>
  <c r="B64"/>
  <c r="B63"/>
  <c r="F35"/>
  <c r="C35"/>
  <c r="O28" i="4"/>
  <c r="H35" i="2" s="1"/>
  <c r="E35" s="1"/>
  <c r="C33"/>
  <c r="C25"/>
  <c r="F13"/>
  <c r="C13"/>
  <c r="F11"/>
  <c r="C11"/>
  <c r="P59" i="4" l="1"/>
  <c r="O59"/>
  <c r="H53" i="2" s="1"/>
  <c r="E53" s="1"/>
  <c r="C20"/>
  <c r="C42"/>
  <c r="O13" i="4"/>
  <c r="H20" i="2" s="1"/>
  <c r="E20" s="1"/>
  <c r="O35" i="4"/>
  <c r="H42" i="2" s="1"/>
  <c r="E42" s="1"/>
  <c r="F20"/>
  <c r="O56" i="4"/>
  <c r="H50" i="2" s="1"/>
  <c r="E50" s="1"/>
  <c r="D50"/>
  <c r="C53"/>
</calcChain>
</file>

<file path=xl/comments1.xml><?xml version="1.0" encoding="utf-8"?>
<comments xmlns="http://schemas.openxmlformats.org/spreadsheetml/2006/main">
  <authors>
    <author>ivette</author>
  </authors>
  <commentList>
    <comment ref="M62" authorId="0">
      <text>
        <r>
          <rPr>
            <b/>
            <sz val="9"/>
            <color indexed="81"/>
            <rFont val="Tahoma"/>
            <charset val="1"/>
          </rPr>
          <t>ivette:</t>
        </r>
        <r>
          <rPr>
            <sz val="9"/>
            <color indexed="81"/>
            <rFont val="Tahoma"/>
            <charset val="1"/>
          </rPr>
          <t xml:space="preserve">
added (negative %) for clarification</t>
        </r>
      </text>
    </comment>
  </commentList>
</comments>
</file>

<file path=xl/sharedStrings.xml><?xml version="1.0" encoding="utf-8"?>
<sst xmlns="http://schemas.openxmlformats.org/spreadsheetml/2006/main" count="584" uniqueCount="165">
  <si>
    <t>CZ</t>
  </si>
  <si>
    <t>Values</t>
  </si>
  <si>
    <t>EO Alpha</t>
  </si>
  <si>
    <t>EC Alpha</t>
  </si>
  <si>
    <t>EO Alpha Recovery</t>
  </si>
  <si>
    <t>Theta Amplitude EO</t>
  </si>
  <si>
    <t>Beta Amplitude EO</t>
  </si>
  <si>
    <t>EO Theta/Beta &lt; 2.2</t>
  </si>
  <si>
    <t>Beta Amplitude UT</t>
  </si>
  <si>
    <t>Theta Amplitude preceding Omni</t>
  </si>
  <si>
    <t>Theta Amplitude with Omni</t>
  </si>
  <si>
    <t>Alpha Peak Frequency EC</t>
  </si>
  <si>
    <t>O1</t>
  </si>
  <si>
    <t>Alpha EO</t>
  </si>
  <si>
    <t>Alpha EC</t>
  </si>
  <si>
    <t xml:space="preserve">EO Alpha Recovery </t>
  </si>
  <si>
    <t>Theta/Beta EO 1.8 - 2.2</t>
  </si>
  <si>
    <t>Theta Amplitude EC</t>
  </si>
  <si>
    <t>Beta Amplitude EC</t>
  </si>
  <si>
    <t>Theta/Beta EC 1.8 - 2.2</t>
  </si>
  <si>
    <t>F3 and F4</t>
  </si>
  <si>
    <t>% Difference F3-F4</t>
  </si>
  <si>
    <t>Alpha Amplitude EC</t>
  </si>
  <si>
    <t>FZ</t>
  </si>
  <si>
    <t>HiBeta Amplitude</t>
  </si>
  <si>
    <t>Beta Amplitude</t>
  </si>
  <si>
    <t>HiBeta/Beta .45 -.55</t>
  </si>
  <si>
    <t>LoAlpha Amplitude</t>
  </si>
  <si>
    <t>HiAlpha Amplitude</t>
  </si>
  <si>
    <t>F3</t>
  </si>
  <si>
    <t>F4</t>
  </si>
  <si>
    <t>F3 Values</t>
  </si>
  <si>
    <t>Conditional Text if &lt; target</t>
  </si>
  <si>
    <t>Conditional Text if &gt; target</t>
  </si>
  <si>
    <t>Lower</t>
  </si>
  <si>
    <t>Greater</t>
  </si>
  <si>
    <t>Sig Flag</t>
  </si>
  <si>
    <t/>
  </si>
  <si>
    <t xml:space="preserve"> </t>
  </si>
  <si>
    <r>
      <t>F4</t>
    </r>
    <r>
      <rPr>
        <b/>
        <sz val="10"/>
        <color indexed="10"/>
        <rFont val="Arial"/>
        <family val="2"/>
      </rPr>
      <t xml:space="preserve"> </t>
    </r>
    <r>
      <rPr>
        <b/>
        <sz val="10"/>
        <rFont val="Arial"/>
        <family val="2"/>
      </rPr>
      <t>Values</t>
    </r>
  </si>
  <si>
    <t>Notes</t>
  </si>
  <si>
    <t xml:space="preserve">  </t>
  </si>
  <si>
    <t>Medically Significant     IF</t>
  </si>
  <si>
    <t>qat00001.csv</t>
  </si>
  <si>
    <t xml:space="preserve">   RUN</t>
  </si>
  <si>
    <t xml:space="preserve">  NPTS</t>
  </si>
  <si>
    <t>SITE</t>
  </si>
  <si>
    <t xml:space="preserve"> TYPE</t>
  </si>
  <si>
    <t xml:space="preserve">  Delta</t>
  </si>
  <si>
    <t xml:space="preserve">  Theta</t>
  </si>
  <si>
    <t xml:space="preserve">  Alpha</t>
  </si>
  <si>
    <t xml:space="preserve">  Lo Alpha</t>
  </si>
  <si>
    <t xml:space="preserve">  SMR</t>
  </si>
  <si>
    <t xml:space="preserve">  Beta</t>
  </si>
  <si>
    <t xml:space="preserve"> ( Theta/ Alpha)</t>
  </si>
  <si>
    <t xml:space="preserve"> ( Theta/ Lo Alpha)</t>
  </si>
  <si>
    <t xml:space="preserve">     Cz</t>
  </si>
  <si>
    <t xml:space="preserve">  MEAN</t>
  </si>
  <si>
    <t xml:space="preserve"> MEANF</t>
  </si>
  <si>
    <t xml:space="preserve"> STDDEV</t>
  </si>
  <si>
    <t xml:space="preserve"> MODFRQ</t>
  </si>
  <si>
    <t xml:space="preserve">     O1</t>
  </si>
  <si>
    <t xml:space="preserve">     F3</t>
  </si>
  <si>
    <t xml:space="preserve">     F4</t>
  </si>
  <si>
    <t xml:space="preserve">     Fz</t>
  </si>
  <si>
    <t>Medically Significant Number</t>
  </si>
  <si>
    <t>If &lt; 30% or negative, probe for visual processing (memory) problem; poor retention of information and/or poor short term memory; also refer to O1 Alpha EO to EC description.</t>
  </si>
  <si>
    <t>If &gt; 25%, probe for foggy thinking.</t>
  </si>
  <si>
    <t xml:space="preserve">If &gt; 2.2, probe for CADD also refer to UT T/B description. </t>
  </si>
  <si>
    <t>If positive and &gt; 15%, probe for CADD.</t>
  </si>
  <si>
    <t>If &gt; 15%, probe for getting overly tired when reading or problem solving.</t>
  </si>
  <si>
    <t>If &gt; 60 probe for development delay, autistic spectrum behavior, marked cognitive deficits.</t>
  </si>
  <si>
    <t>If both EC and EO about = or &lt; 1.5, probe for sleep disturbance.  Also see T/B EO for description of probes.</t>
  </si>
  <si>
    <t>If &lt; 9.5, probe for mental sluggishness.</t>
  </si>
  <si>
    <t>If % difference b/w F3 T/B &amp; F4 T/B EC is negative and &gt; 20% probe for emotional volatility, anger management problems, emotional impulse control.  In males, in particular, emotional restrictions (very narrow emotional window) that seems to be a response to or effort to control emotional volatility.</t>
  </si>
  <si>
    <t xml:space="preserve"> If &lt; 1.0, probe for frontal Alpha ADD - problems with organization, sequencing, sustained focus, planning, task completion, staying on task, talkativeness.  If &lt;&lt; .8 probe for fibromyalgia, chronic fatigue and sleep disturbance.</t>
  </si>
  <si>
    <t>If &gt; 60, probe for development delays, autism spectrum disorder (especially if O1 Theta is high and the anterior cingulate gyrus is "hot"); memory / cognitive deficits in adults.</t>
  </si>
  <si>
    <t>If F3 Alpha &gt; F4 Alpha, probe for depression in adults and impulse control in children.  If F4 Alpha &gt; F3 Alpha, probe for oppositional, defiant and socially aggressive or socially indifferent behavior; general elevated Alpha associated with emotional disregulation.</t>
  </si>
  <si>
    <t>If F4 Theta 15% &gt; F3 Theta, probe for emotional volatility or conversely restricted emotional range. If F3 Theta 15% &gt; F4 Theta, probe for depression in adults &amp; impulse control in children.</t>
  </si>
  <si>
    <t>If Delta (2 Hz) EC &lt; 9.0 probe for cognitive deficits such as problems with concentration forgetfulness and comprehension, higher values can be associated with developmental delays and pain, will usually see remarkable patterns in F3 and F4 if Delta is high.</t>
  </si>
  <si>
    <t>If F3 and F4 Theta/Beta EC &lt; 2.2, probe for cognitive deficiencies associated with retrieval of information, impulse control, emotional volatility, etc.  Probe for depression in adults &amp; impulse control in children.</t>
  </si>
  <si>
    <t>If &gt; 3, probe for inability to sit still or quiet the body; sleep disturbance as in trouble falling asleep. If &gt; 3, probe for problems related to muscle activity such as headaches, chronic pain, body tremors, dystonia &amp; seizure disorders that have a motor component.</t>
  </si>
  <si>
    <t>If &gt;2.2, probe for CADD (ratio should drop UT); If &gt;3.0, probe for AD(H)D.  If &gt; 2.2 and if CZ EO T/B &lt; 2.2, probe for ADD and/or problems with poor reading comprehension/retention.</t>
  </si>
  <si>
    <t>Train down Theta/SMR Eyes Closed ratio at CZ to enhance the ability to sit still or quiet the body.   Train down Theta/SMR Eyes Closed ratio at CZ to quiet sleep disturbance as in trouble falling asleep.  Train down Theta/SMR Eyes Closed ratio at CZ to reduce problems related to muscle activity such as headaches, chronic pain, body tremors, dystonia &amp; seizure disorders that have a motor component.</t>
  </si>
  <si>
    <t>If &lt; 9.5 probe for mental sluggishness.</t>
  </si>
  <si>
    <t>If &gt;25%, probe for foggy thinking.</t>
  </si>
  <si>
    <t>If F4 Beta 15% &gt; F3 Beta, probe for predisposition to depressed mood states in adults and impulse control in children.  If F4 Beta 20% &gt; F3 Beta and F4/F3 Theta &gt; 20% and F4 T/A 20% &lt; F3 T/A (particularly when O1 T/B &lt; 1.5), probe for fibromyalgia/chronic fatigue.</t>
  </si>
  <si>
    <t>Text Ctl target Lo</t>
  </si>
  <si>
    <r>
      <t xml:space="preserve">Conditional Treatment Plan Text. When positive response to probing is confirmed, this text is included in the Treatment Report if the Flag = 1. </t>
    </r>
    <r>
      <rPr>
        <b/>
        <sz val="10"/>
        <rFont val="Calibri"/>
        <family val="2"/>
        <scheme val="minor"/>
      </rPr>
      <t>Always edit treatment plan to fit client situation.</t>
    </r>
  </si>
  <si>
    <t>Positive % indicates Theta increase with Omni sound.  If % is negative and &gt; 5, prescribe for home use (positive % indicates Theta increase).</t>
  </si>
  <si>
    <t>If &lt; 1.8, probe for poor stress tolerance, racing thoughts, anxiety, inefficient self-quieting.  If &lt;&lt; 1.8 probe for predisposition to self-medicating behaviors, GAD &amp; stress precipitated depression. If &gt; 3.0 probe for cognitive deficiencies or Asperger's patterns; also see F4/F3 Beta for symptom.  Also applies to T/B EC.</t>
  </si>
  <si>
    <t>If EC increase is &gt; 50% or negative, and also seen at Cz, probe for traumatic stress. If 150% probe for artistic interest or skills (visual arts, dance poetry carpentry etc.</t>
  </si>
  <si>
    <t>If % is negative and &gt; 25, question sleep onset difficulties. If positive %, indicates an increase from EO to EC.</t>
  </si>
  <si>
    <t>If HiBeta/Beta &lt; .45, probe for excessive passiveness.  If &gt; .55, probe for stubborn behavior, OC tendencies or OCD, perseveration in autistic spectrum behaviors.  Assume hot midline (anterior cingulate gyrus) in treatment of autistic spectrum behaviors.  If &gt; .60 or &lt; .40, probe for anxiety; If &gt;.80, probe for O/C behaviors.   If &lt;.35, problematic passivity; .45 = open-minded and conciliatory. Caution! If there is an extremely elevated Beta amplitude, minimal ratio may result that does not indicate passive behavior.</t>
  </si>
  <si>
    <t>If Sum HiBeta + Beta &lt;15, probe for autistic spectrum behavior.   Implications of 2 above ratios apply only if sum of amplitudes of 28-40 hz &amp; Beta &lt; 15. If summated amplitudes &gt; 15, but 28-40/Beta is within normative range, probe for fretting and assume hot midline in treatment of autistic spectrum behaviors; When &lt; 15, clients reported less annoying thoughts: If &gt; 16, "hot" midline.</t>
  </si>
  <si>
    <t>If &gt; 1.5, probe for cognitive inefficiency, age related deficits in memory and cognitive processing, and sleep    If LoAlpha/HiAlpha 1.0 - 1.5, probe for cognitive inefficiency, age related deficits in memory and cognitive processing disorders; If &gt;1.5, probe for problems  with concentration and forgetfulness; If &gt;&gt;1.5, probe for developmental delay, marked cognitive deficits; the lower this ratio, the better, as it reflects more efficient brain functioning.</t>
  </si>
  <si>
    <t>x</t>
  </si>
  <si>
    <t>x  means to Print Middle Text Always</t>
  </si>
  <si>
    <t>Signif Flag</t>
  </si>
  <si>
    <t>Text Ctl Target Hi</t>
  </si>
  <si>
    <t>Gray cells = formulas. Dark gray = local calculations</t>
  </si>
  <si>
    <t xml:space="preserve">Text Always Displayed if column F= "x" </t>
  </si>
  <si>
    <t>If Delta (2 Hz) EC &gt; 9.0 probe for cognitive deficits such as problems with concentration forgetfulness and comprehension, higher values can be associated with developmental delays and pain, will usually see remarkable patterns in F3 and F4 if Delta is high.</t>
  </si>
  <si>
    <t>Total Amplitude &lt; 60</t>
  </si>
  <si>
    <t>Theta/SMR EC &lt; 3</t>
  </si>
  <si>
    <t>Sum HiBeta + Beta &lt; 15</t>
  </si>
  <si>
    <t>Ratio</t>
  </si>
  <si>
    <t>Clinical Q Assessment by Paul Swingle, Ph.D. for BrainMaster</t>
  </si>
  <si>
    <t>(This statistic is currently being used for research purposes)</t>
  </si>
  <si>
    <t>Percent change EO to EC Alpha &gt; 30%</t>
  </si>
  <si>
    <t>Theta Amplitude Under Task UT</t>
  </si>
  <si>
    <t>Total Amplitude EC &lt; 60</t>
  </si>
  <si>
    <t>Theta /Beta EC &lt; 2.2</t>
  </si>
  <si>
    <t xml:space="preserve">Delta 2 Hz EC &lt; 9.0 </t>
  </si>
  <si>
    <t>Alpha Peak Frequency EO &gt;9.5</t>
  </si>
  <si>
    <t>Alpha Peak Frequency EC &gt;9.5</t>
  </si>
  <si>
    <t>% change EO to EC T/B ratio  &gt;  25%</t>
  </si>
  <si>
    <t>If EC increase is &lt; 50% or negative, and also seen at Cz, probe for traumatic stress. If 150% + probe for artistic interest or skills (visual arts, dance, poetry, carpentry, etc.)</t>
  </si>
  <si>
    <t>Theta/Beta UT &lt; 2.2</t>
  </si>
  <si>
    <t>% Beta Increase UT &lt; 15%</t>
  </si>
  <si>
    <t xml:space="preserve">% difference EO Alpha 
from initial EO after EC &lt; 25% </t>
  </si>
  <si>
    <t>% change EO Alpha 
to EO Alpha after EC &lt; 25%</t>
  </si>
  <si>
    <t>Percent change in Theta with Omni   &gt; -5%</t>
  </si>
  <si>
    <r>
      <t>Red numbers</t>
    </r>
    <r>
      <rPr>
        <sz val="14"/>
        <color theme="1"/>
        <rFont val="Calibri"/>
        <family val="2"/>
        <scheme val="minor"/>
      </rPr>
      <t xml:space="preserve"> and</t>
    </r>
    <r>
      <rPr>
        <b/>
        <sz val="14"/>
        <color theme="1"/>
        <rFont val="Calibri"/>
        <family val="2"/>
        <scheme val="minor"/>
      </rPr>
      <t xml:space="preserve"> !</t>
    </r>
    <r>
      <rPr>
        <sz val="14"/>
        <color theme="1"/>
        <rFont val="Calibri"/>
        <family val="2"/>
        <scheme val="minor"/>
      </rPr>
      <t xml:space="preserve"> (Flag) Icon </t>
    </r>
    <r>
      <rPr>
        <sz val="14"/>
        <rFont val="Calibri"/>
        <family val="2"/>
        <scheme val="minor"/>
      </rPr>
      <t>indicate medical significance</t>
    </r>
  </si>
  <si>
    <t>Probe</t>
  </si>
  <si>
    <t>If % is negative and &gt; 25, question sleep onset difficulties. Positive % means an increase from EO to EC.</t>
  </si>
  <si>
    <t xml:space="preserve">To learn more read Biofeedback for the Brain. </t>
  </si>
  <si>
    <t>For greater detail refer to  Basic Neurotherapy: The Clinician's Guide both by Paul Swingle Ph.D.</t>
  </si>
  <si>
    <t>EO = Eyes Open, EC = Eyes Closed</t>
  </si>
  <si>
    <t>Theta 3-7 Hz</t>
  </si>
  <si>
    <t>Delta 1.5-2.5 Hz</t>
  </si>
  <si>
    <t>Alpha 8-12 Hz</t>
  </si>
  <si>
    <t>LoAlpha 8-9 Hz</t>
  </si>
  <si>
    <t>SMR 12-15 Hz</t>
  </si>
  <si>
    <t>Beta 16-25 Hz</t>
  </si>
  <si>
    <t>F4 / F3 Beta &lt; ±15%</t>
  </si>
  <si>
    <t>F4 / F3 Theta &lt; ±15%</t>
  </si>
  <si>
    <t>F4 / F3 Alpha &lt; ±15%</t>
  </si>
  <si>
    <t>&lt; Less than.  &gt; Greater than.  ± Either plus or minus.</t>
  </si>
  <si>
    <t>Brainwave frequencies:</t>
  </si>
  <si>
    <t>Total Amplitude = Theta + Alpha + Beta</t>
  </si>
  <si>
    <t>Gary Ames, www.AlertFocus.com, Producer and Project Director for bringing Paul Swingle's Clinical Q to the Brainmaster</t>
  </si>
  <si>
    <t>HiBetaGamma 28-40 Hz</t>
  </si>
  <si>
    <t>If F3 or F4 Theta/Beta EC &gt; 2.2, probe for cognitive deficiencies associated with retrieval of information, impulse control, emotional volatility, etc.  Probe for depression in adults &amp; impulse control in children.</t>
  </si>
  <si>
    <t>CLIENT NAME:</t>
  </si>
  <si>
    <t>Assessment Date:</t>
  </si>
  <si>
    <r>
      <rPr>
        <sz val="14"/>
        <color rgb="FFFF0000"/>
        <rFont val="Calibri"/>
        <family val="2"/>
        <scheme val="minor"/>
      </rPr>
      <t>Rows5 - 70</t>
    </r>
    <r>
      <rPr>
        <sz val="14"/>
        <color theme="1"/>
        <rFont val="Calibri"/>
        <family val="2"/>
        <scheme val="minor"/>
      </rPr>
      <t xml:space="preserve"> of this report are protected cells</t>
    </r>
  </si>
  <si>
    <t>HiAlpha 11-12 Hz</t>
  </si>
  <si>
    <t xml:space="preserve">Get the Omni protocol from www.SoundHealthProducts.com to enhance concentration while working quietly. </t>
  </si>
  <si>
    <t>LoAlpha/HiAlpha &lt; 1.5</t>
  </si>
  <si>
    <t>Alpha Peak Frequency EC &gt; 9.5</t>
  </si>
  <si>
    <t>Alpha Peak Frequency EO &gt; 9.5</t>
  </si>
  <si>
    <t>Percent change T/B EO to T/B EO UT &lt; 15%</t>
  </si>
  <si>
    <t>% Change in Alpha EO to EC &gt; 50%</t>
  </si>
  <si>
    <t>Theta /Alpha EC  1.2 - 1.6</t>
  </si>
  <si>
    <t>% Difference between
F3 T/B &amp; F4 T/B &lt; 20%</t>
  </si>
  <si>
    <t>Sample numbers</t>
  </si>
  <si>
    <t>c:\brainm.20\studies\SM 52 Assessment A1A2\sum00001.bsm</t>
  </si>
  <si>
    <t xml:space="preserve">  HiAlpha</t>
  </si>
  <si>
    <t xml:space="preserve">  HiBetaGamma</t>
  </si>
  <si>
    <t xml:space="preserve"> ( Theta/ HiAlpha)</t>
  </si>
  <si>
    <t xml:space="preserve"> ( Alpha/ HiAlpha)</t>
  </si>
  <si>
    <t>If F3 Alpha &gt; F4 Alpha (negative %), probe for depression in adults and impulse control in children.  If F4 Alpha &gt; F3 Alpha, probe for oppositional, defiant and socially aggressive or socially indifferent behavior; general elevated Alpha associated with emotional disregulation.</t>
  </si>
  <si>
    <t>If &gt; 1.5, probe for cognitive inefficiency, age related deficits in memory and cognitive processing, sleep disorders, cognitive processing disorders, problems  with concentration and forgetfulness.  M63If &gt;&gt; 1.5, probe for developmental delay, marked cognitive deficits; the lower this ratio, the better, as it reflects more efficient brain functioning.</t>
  </si>
  <si>
    <t>If Sum HiBeta + Beta &gt; 15, probe for autistic spectrum behavior.   Implications of the 2 HiBeta values apply only if sum of amplitudes of 28-40 hz &amp; Beta &lt; 15. If summated amplitudes &gt; 15, but 28-40/Beta is within normative range, probe for fretting and assume hot midline in treatment of autistic spectrum behaviors.  When &lt; 15, clients reported less annoying thoughts: If &gt; 16, "hot" midline.</t>
  </si>
</sst>
</file>

<file path=xl/styles.xml><?xml version="1.0" encoding="utf-8"?>
<styleSheet xmlns="http://schemas.openxmlformats.org/spreadsheetml/2006/main">
  <numFmts count="1">
    <numFmt numFmtId="164" formatCode="0.0"/>
  </numFmts>
  <fonts count="6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indexed="8"/>
      <name val="Calibri"/>
      <family val="2"/>
    </font>
    <font>
      <b/>
      <sz val="10"/>
      <name val="Arial"/>
      <family val="2"/>
    </font>
    <font>
      <sz val="10"/>
      <color indexed="10"/>
      <name val="Arial"/>
      <family val="2"/>
    </font>
    <font>
      <sz val="10"/>
      <color theme="1"/>
      <name val="Calibri"/>
      <family val="2"/>
      <scheme val="minor"/>
    </font>
    <font>
      <sz val="10"/>
      <name val="Arial"/>
      <family val="2"/>
    </font>
    <font>
      <b/>
      <sz val="11"/>
      <color indexed="8"/>
      <name val="Arial"/>
      <family val="2"/>
    </font>
    <font>
      <sz val="11"/>
      <color indexed="8"/>
      <name val="Arial"/>
      <family val="2"/>
    </font>
    <font>
      <sz val="11"/>
      <color indexed="8"/>
      <name val="Calibri"/>
      <family val="2"/>
    </font>
    <font>
      <sz val="11"/>
      <color indexed="10"/>
      <name val="Arial"/>
      <family val="2"/>
    </font>
    <font>
      <b/>
      <sz val="11"/>
      <color indexed="8"/>
      <name val="Calisto MT"/>
      <family val="1"/>
    </font>
    <font>
      <sz val="11"/>
      <color indexed="8"/>
      <name val="Calisto MT"/>
      <family val="1"/>
    </font>
    <font>
      <sz val="10"/>
      <color theme="1"/>
      <name val="Arial"/>
      <family val="2"/>
    </font>
    <font>
      <sz val="12"/>
      <color theme="1"/>
      <name val="Calibri"/>
      <family val="2"/>
      <scheme val="minor"/>
    </font>
    <font>
      <sz val="10"/>
      <color rgb="FFFF0000"/>
      <name val="Calibri"/>
      <family val="2"/>
      <scheme val="minor"/>
    </font>
    <font>
      <sz val="10"/>
      <color rgb="FFFF0000"/>
      <name val="Arial"/>
      <family val="2"/>
    </font>
    <font>
      <sz val="20"/>
      <color theme="4" tint="-0.24994659260841701"/>
      <name val="Calibri"/>
      <family val="2"/>
      <scheme val="minor"/>
    </font>
    <font>
      <b/>
      <sz val="12"/>
      <color indexed="8"/>
      <name val="Arial"/>
      <family val="2"/>
    </font>
    <font>
      <b/>
      <sz val="10"/>
      <color indexed="8"/>
      <name val="Arial"/>
      <family val="2"/>
    </font>
    <font>
      <b/>
      <sz val="10"/>
      <color theme="1"/>
      <name val="Arial"/>
      <family val="2"/>
    </font>
    <font>
      <b/>
      <sz val="10"/>
      <color indexed="10"/>
      <name val="Arial"/>
      <family val="2"/>
    </font>
    <font>
      <b/>
      <sz val="14"/>
      <name val="Arial"/>
      <family val="2"/>
    </font>
    <font>
      <sz val="8"/>
      <color indexed="8"/>
      <name val="Arial"/>
      <family val="2"/>
    </font>
    <font>
      <sz val="10"/>
      <name val="Calibri"/>
      <family val="2"/>
      <scheme val="minor"/>
    </font>
    <font>
      <b/>
      <sz val="10"/>
      <name val="Calibri"/>
      <family val="2"/>
      <scheme val="minor"/>
    </font>
    <font>
      <b/>
      <sz val="14"/>
      <color theme="1"/>
      <name val="Calibri"/>
      <family val="2"/>
      <scheme val="minor"/>
    </font>
    <font>
      <b/>
      <sz val="14"/>
      <color indexed="8"/>
      <name val="Arial"/>
      <family val="2"/>
    </font>
    <font>
      <b/>
      <sz val="14"/>
      <color indexed="8"/>
      <name val="Calibri"/>
      <family val="2"/>
    </font>
    <font>
      <b/>
      <sz val="11"/>
      <color theme="0"/>
      <name val="Arial"/>
      <family val="2"/>
    </font>
    <font>
      <sz val="14"/>
      <color indexed="8"/>
      <name val="Arial"/>
      <family val="2"/>
    </font>
    <font>
      <sz val="12"/>
      <color indexed="8"/>
      <name val="Arial"/>
      <family val="2"/>
    </font>
    <font>
      <sz val="12"/>
      <color indexed="8"/>
      <name val="Calibri"/>
      <family val="2"/>
    </font>
    <font>
      <sz val="14"/>
      <color theme="1"/>
      <name val="Calibri"/>
      <family val="2"/>
      <scheme val="minor"/>
    </font>
    <font>
      <b/>
      <sz val="14"/>
      <name val="Calibri"/>
      <family val="2"/>
      <scheme val="minor"/>
    </font>
    <font>
      <sz val="14"/>
      <color rgb="FFFF0000"/>
      <name val="Calibri"/>
      <family val="2"/>
      <scheme val="minor"/>
    </font>
    <font>
      <sz val="14"/>
      <name val="Calibri"/>
      <family val="2"/>
      <scheme val="minor"/>
    </font>
    <font>
      <sz val="14"/>
      <color indexed="8"/>
      <name val="Calibri"/>
      <family val="2"/>
    </font>
    <font>
      <sz val="12"/>
      <name val="Arial"/>
      <family val="2"/>
    </font>
    <font>
      <sz val="12"/>
      <color theme="1"/>
      <name val="Arial"/>
      <family val="2"/>
    </font>
    <font>
      <b/>
      <sz val="12"/>
      <color indexed="8"/>
      <name val="Calibri"/>
      <family val="2"/>
    </font>
    <font>
      <b/>
      <sz val="12"/>
      <name val="Arial"/>
      <family val="2"/>
    </font>
    <font>
      <sz val="16"/>
      <color theme="1"/>
      <name val="Calibri"/>
      <family val="2"/>
      <scheme val="minor"/>
    </font>
    <font>
      <b/>
      <sz val="16"/>
      <color theme="1"/>
      <name val="Calibri"/>
      <family val="2"/>
      <scheme val="minor"/>
    </font>
    <font>
      <sz val="9"/>
      <color indexed="81"/>
      <name val="Tahoma"/>
      <charset val="1"/>
    </font>
    <font>
      <b/>
      <sz val="9"/>
      <color indexed="81"/>
      <name val="Tahoma"/>
      <charset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3">
    <xf numFmtId="0" fontId="0" fillId="0" borderId="0" xfId="0"/>
    <xf numFmtId="0" fontId="0" fillId="0" borderId="0" xfId="0" applyAlignment="1">
      <alignment wrapText="1"/>
    </xf>
    <xf numFmtId="0" fontId="0" fillId="0" borderId="0" xfId="0" applyAlignment="1">
      <alignment horizontal="center"/>
    </xf>
    <xf numFmtId="0" fontId="0" fillId="33" borderId="0" xfId="0" applyFill="1" applyAlignment="1">
      <alignment horizontal="center" wrapText="1"/>
    </xf>
    <xf numFmtId="2" fontId="18" fillId="0" borderId="10" xfId="0" applyNumberFormat="1" applyFont="1" applyFill="1" applyBorder="1" applyAlignment="1">
      <alignment horizontal="center" vertical="center"/>
    </xf>
    <xf numFmtId="2" fontId="18" fillId="0" borderId="10" xfId="0" applyNumberFormat="1" applyFont="1" applyFill="1" applyBorder="1" applyAlignment="1">
      <alignment horizontal="center"/>
    </xf>
    <xf numFmtId="0" fontId="22" fillId="0" borderId="0" xfId="0" applyFont="1" applyAlignment="1">
      <alignment vertical="top"/>
    </xf>
    <xf numFmtId="2" fontId="18" fillId="0" borderId="0" xfId="0" applyNumberFormat="1" applyFont="1" applyFill="1" applyBorder="1" applyAlignment="1">
      <alignment horizontal="center" vertical="center"/>
    </xf>
    <xf numFmtId="10" fontId="21" fillId="0" borderId="0" xfId="0" applyNumberFormat="1" applyFont="1" applyFill="1" applyBorder="1" applyAlignment="1">
      <alignment horizontal="center" vertical="center"/>
    </xf>
    <xf numFmtId="10" fontId="18" fillId="0" borderId="0" xfId="0" applyNumberFormat="1" applyFont="1" applyFill="1" applyBorder="1" applyAlignment="1">
      <alignment horizontal="center" vertical="center"/>
    </xf>
    <xf numFmtId="0" fontId="18" fillId="0" borderId="0" xfId="0" applyFont="1" applyFill="1" applyAlignment="1">
      <alignment horizontal="center" vertical="center"/>
    </xf>
    <xf numFmtId="0" fontId="0" fillId="0" borderId="0" xfId="0" applyFont="1"/>
    <xf numFmtId="0" fontId="0" fillId="0" borderId="0" xfId="0" applyFont="1" applyFill="1"/>
    <xf numFmtId="0" fontId="25" fillId="0" borderId="0" xfId="0" applyFont="1" applyFill="1"/>
    <xf numFmtId="0" fontId="26" fillId="0" borderId="0" xfId="0" applyFont="1" applyFill="1"/>
    <xf numFmtId="0" fontId="25" fillId="0" borderId="0" xfId="0" applyFont="1" applyFill="1" applyAlignment="1">
      <alignment horizontal="left" vertical="center" wrapText="1" indent="3"/>
    </xf>
    <xf numFmtId="0" fontId="28" fillId="0" borderId="0" xfId="0" applyFont="1" applyFill="1"/>
    <xf numFmtId="0" fontId="29" fillId="0" borderId="0" xfId="0" applyFont="1" applyFill="1"/>
    <xf numFmtId="0" fontId="26" fillId="0" borderId="0" xfId="0" applyFont="1" applyFill="1" applyAlignment="1">
      <alignment vertical="top"/>
    </xf>
    <xf numFmtId="0" fontId="0" fillId="0" borderId="0" xfId="0" applyFont="1" applyFill="1" applyAlignment="1">
      <alignment vertical="top"/>
    </xf>
    <xf numFmtId="0" fontId="0" fillId="0" borderId="0" xfId="0" applyFont="1" applyAlignment="1">
      <alignment vertical="top"/>
    </xf>
    <xf numFmtId="0" fontId="26" fillId="34" borderId="0" xfId="0" applyFont="1" applyFill="1"/>
    <xf numFmtId="0" fontId="18" fillId="33" borderId="10" xfId="0" applyFont="1" applyFill="1" applyBorder="1" applyAlignment="1">
      <alignment horizontal="center" vertical="center"/>
    </xf>
    <xf numFmtId="0" fontId="23" fillId="33" borderId="10" xfId="0" applyFont="1" applyFill="1" applyBorder="1" applyAlignment="1">
      <alignment horizontal="center" vertical="center"/>
    </xf>
    <xf numFmtId="0" fontId="23" fillId="0" borderId="0" xfId="0" applyFont="1" applyFill="1" applyBorder="1" applyAlignment="1">
      <alignment horizontal="center" vertical="center"/>
    </xf>
    <xf numFmtId="10" fontId="30" fillId="0" borderId="0" xfId="0" applyNumberFormat="1" applyFont="1" applyFill="1" applyBorder="1" applyAlignment="1">
      <alignment horizontal="center" vertical="center"/>
    </xf>
    <xf numFmtId="0" fontId="0" fillId="0" borderId="0" xfId="0" applyFont="1" applyAlignment="1">
      <alignment horizontal="center"/>
    </xf>
    <xf numFmtId="0" fontId="0" fillId="0" borderId="0" xfId="0" applyFont="1" applyFill="1" applyAlignment="1">
      <alignment horizontal="center"/>
    </xf>
    <xf numFmtId="0" fontId="26" fillId="0" borderId="0" xfId="0" applyFont="1" applyFill="1" applyAlignment="1">
      <alignment horizontal="center"/>
    </xf>
    <xf numFmtId="0" fontId="26" fillId="0" borderId="0" xfId="0" applyFont="1" applyFill="1" applyAlignment="1">
      <alignment wrapText="1"/>
    </xf>
    <xf numFmtId="0" fontId="0" fillId="0" borderId="0" xfId="0" applyFont="1" applyFill="1" applyAlignment="1">
      <alignment wrapText="1"/>
    </xf>
    <xf numFmtId="0" fontId="0" fillId="0" borderId="0" xfId="0" applyFont="1" applyAlignment="1">
      <alignment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Alignment="1">
      <alignment horizontal="center"/>
    </xf>
    <xf numFmtId="0" fontId="19" fillId="0" borderId="0" xfId="0" applyFont="1" applyFill="1" applyBorder="1" applyAlignment="1">
      <alignment horizontal="center"/>
    </xf>
    <xf numFmtId="0" fontId="22" fillId="0" borderId="0" xfId="0" applyFont="1" applyAlignment="1">
      <alignment horizontal="center"/>
    </xf>
    <xf numFmtId="10" fontId="18" fillId="0" borderId="0" xfId="0" applyNumberFormat="1" applyFont="1" applyFill="1" applyAlignment="1">
      <alignment horizontal="center" vertical="center"/>
    </xf>
    <xf numFmtId="2" fontId="18" fillId="33" borderId="0" xfId="0" applyNumberFormat="1" applyFont="1" applyFill="1" applyBorder="1" applyAlignment="1">
      <alignment horizontal="center" vertical="center"/>
    </xf>
    <xf numFmtId="10" fontId="18" fillId="33" borderId="0" xfId="0" applyNumberFormat="1" applyFont="1" applyFill="1" applyBorder="1" applyAlignment="1">
      <alignment horizontal="center" vertical="center"/>
    </xf>
    <xf numFmtId="0" fontId="18" fillId="33" borderId="0" xfId="0" applyFont="1" applyFill="1" applyBorder="1" applyAlignment="1">
      <alignment horizontal="center"/>
    </xf>
    <xf numFmtId="0" fontId="18" fillId="33" borderId="0" xfId="0" applyFont="1" applyFill="1" applyBorder="1" applyAlignment="1">
      <alignment horizontal="center" vertical="center"/>
    </xf>
    <xf numFmtId="0" fontId="23" fillId="33" borderId="0" xfId="0" applyFont="1" applyFill="1" applyBorder="1" applyAlignment="1">
      <alignment horizontal="center" vertical="center"/>
    </xf>
    <xf numFmtId="10" fontId="30" fillId="33" borderId="0" xfId="0" applyNumberFormat="1" applyFont="1" applyFill="1" applyBorder="1" applyAlignment="1">
      <alignment horizontal="center" vertical="center"/>
    </xf>
    <xf numFmtId="10" fontId="18" fillId="33" borderId="0" xfId="0" applyNumberFormat="1" applyFont="1" applyFill="1" applyBorder="1" applyAlignment="1">
      <alignment horizontal="center"/>
    </xf>
    <xf numFmtId="49" fontId="18" fillId="33" borderId="0" xfId="0" applyNumberFormat="1" applyFont="1" applyFill="1" applyBorder="1" applyAlignment="1">
      <alignment horizontal="center" vertical="center"/>
    </xf>
    <xf numFmtId="2" fontId="18" fillId="33" borderId="0" xfId="0" applyNumberFormat="1" applyFont="1" applyFill="1" applyBorder="1" applyAlignment="1">
      <alignment horizontal="center"/>
    </xf>
    <xf numFmtId="2" fontId="23" fillId="33" borderId="0" xfId="0" applyNumberFormat="1" applyFont="1" applyFill="1" applyBorder="1" applyAlignment="1">
      <alignment horizontal="center" vertical="center"/>
    </xf>
    <xf numFmtId="2" fontId="23" fillId="33" borderId="0" xfId="0" applyNumberFormat="1" applyFont="1" applyFill="1" applyBorder="1" applyAlignment="1">
      <alignment horizontal="center" vertical="top"/>
    </xf>
    <xf numFmtId="0" fontId="18" fillId="33" borderId="0" xfId="0" applyFont="1" applyFill="1" applyBorder="1" applyAlignment="1">
      <alignment horizontal="left"/>
    </xf>
    <xf numFmtId="0" fontId="18" fillId="33" borderId="0" xfId="0" applyFont="1" applyFill="1" applyBorder="1" applyAlignment="1">
      <alignment vertical="center"/>
    </xf>
    <xf numFmtId="0" fontId="22" fillId="0" borderId="0" xfId="0" applyFont="1" applyFill="1" applyAlignment="1">
      <alignment horizontal="center"/>
    </xf>
    <xf numFmtId="0" fontId="25" fillId="0" borderId="0" xfId="0" applyFont="1" applyFill="1" applyAlignment="1">
      <alignment wrapText="1"/>
    </xf>
    <xf numFmtId="10" fontId="25" fillId="0" borderId="0" xfId="0" applyNumberFormat="1" applyFont="1" applyFill="1" applyAlignment="1">
      <alignment vertical="center" wrapText="1"/>
    </xf>
    <xf numFmtId="0" fontId="22" fillId="0" borderId="0" xfId="0" applyFont="1" applyBorder="1" applyAlignment="1">
      <alignment horizontal="center"/>
    </xf>
    <xf numFmtId="0" fontId="25" fillId="0" borderId="0" xfId="0" applyFont="1" applyFill="1" applyAlignment="1">
      <alignment horizontal="center"/>
    </xf>
    <xf numFmtId="0" fontId="26" fillId="35" borderId="0" xfId="0" applyFont="1" applyFill="1" applyAlignment="1">
      <alignment horizontal="center" wrapText="1"/>
    </xf>
    <xf numFmtId="2" fontId="18" fillId="33" borderId="10" xfId="0" applyNumberFormat="1" applyFont="1" applyFill="1" applyBorder="1" applyAlignment="1">
      <alignment horizontal="center" vertical="center"/>
    </xf>
    <xf numFmtId="10" fontId="18" fillId="33" borderId="10" xfId="0" applyNumberFormat="1" applyFont="1" applyFill="1" applyBorder="1" applyAlignment="1">
      <alignment horizontal="center" vertical="center"/>
    </xf>
    <xf numFmtId="0" fontId="18" fillId="33" borderId="10" xfId="0" applyFont="1" applyFill="1" applyBorder="1" applyAlignment="1">
      <alignment horizontal="center"/>
    </xf>
    <xf numFmtId="2" fontId="18" fillId="33" borderId="10" xfId="0" applyNumberFormat="1" applyFont="1" applyFill="1" applyBorder="1" applyAlignment="1">
      <alignment horizontal="center"/>
    </xf>
    <xf numFmtId="0" fontId="18" fillId="0" borderId="0" xfId="0" quotePrefix="1" applyFont="1" applyFill="1" applyAlignment="1">
      <alignment horizontal="center"/>
    </xf>
    <xf numFmtId="10" fontId="18" fillId="0" borderId="0" xfId="0" quotePrefix="1" applyNumberFormat="1" applyFont="1" applyFill="1" applyAlignment="1">
      <alignment horizontal="center"/>
    </xf>
    <xf numFmtId="0" fontId="18" fillId="0" borderId="0" xfId="0" quotePrefix="1" applyFont="1" applyFill="1" applyBorder="1" applyAlignment="1">
      <alignment horizontal="center"/>
    </xf>
    <xf numFmtId="2" fontId="18" fillId="33" borderId="11" xfId="0" applyNumberFormat="1" applyFont="1" applyFill="1" applyBorder="1" applyAlignment="1">
      <alignment horizontal="center" vertical="center"/>
    </xf>
    <xf numFmtId="2" fontId="18" fillId="33" borderId="14" xfId="0" applyNumberFormat="1" applyFont="1" applyFill="1" applyBorder="1" applyAlignment="1">
      <alignment vertical="center"/>
    </xf>
    <xf numFmtId="0" fontId="32" fillId="36" borderId="0" xfId="0" applyFont="1" applyFill="1" applyBorder="1" applyAlignment="1">
      <alignment horizontal="center"/>
    </xf>
    <xf numFmtId="2" fontId="23" fillId="33" borderId="11" xfId="0" applyNumberFormat="1" applyFont="1" applyFill="1" applyBorder="1" applyAlignment="1">
      <alignment horizontal="center" vertical="center"/>
    </xf>
    <xf numFmtId="2" fontId="23" fillId="33" borderId="10" xfId="0" applyNumberFormat="1" applyFont="1" applyFill="1" applyBorder="1" applyAlignment="1">
      <alignment horizontal="center" vertical="center"/>
    </xf>
    <xf numFmtId="2" fontId="23" fillId="33" borderId="10" xfId="0" applyNumberFormat="1" applyFont="1" applyFill="1" applyBorder="1" applyAlignment="1">
      <alignment horizontal="center" vertical="top"/>
    </xf>
    <xf numFmtId="10" fontId="18" fillId="0" borderId="0" xfId="0" quotePrefix="1"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36" fillId="33" borderId="10" xfId="0" applyFont="1" applyFill="1" applyBorder="1" applyAlignment="1">
      <alignment horizontal="center" vertical="center"/>
    </xf>
    <xf numFmtId="0" fontId="37" fillId="33" borderId="10" xfId="0" applyFont="1" applyFill="1" applyBorder="1" applyAlignment="1">
      <alignment horizontal="center" vertical="center"/>
    </xf>
    <xf numFmtId="0" fontId="20" fillId="33" borderId="10" xfId="0" applyFont="1" applyFill="1" applyBorder="1" applyAlignment="1">
      <alignment horizontal="center" vertical="center"/>
    </xf>
    <xf numFmtId="2" fontId="33" fillId="0" borderId="25" xfId="0" applyNumberFormat="1" applyFont="1" applyFill="1" applyBorder="1" applyAlignment="1">
      <alignment horizontal="center" vertical="center"/>
    </xf>
    <xf numFmtId="0" fontId="33" fillId="0" borderId="25" xfId="0" applyFont="1" applyFill="1" applyBorder="1" applyAlignment="1">
      <alignment horizontal="center" vertical="center"/>
    </xf>
    <xf numFmtId="10" fontId="33" fillId="0" borderId="25" xfId="0" applyNumberFormat="1" applyFont="1" applyFill="1" applyBorder="1" applyAlignment="1">
      <alignment horizontal="center" vertical="center"/>
    </xf>
    <xf numFmtId="0" fontId="33" fillId="0" borderId="29" xfId="0" applyFont="1" applyFill="1" applyBorder="1" applyAlignment="1">
      <alignment horizontal="center" vertical="center"/>
    </xf>
    <xf numFmtId="0" fontId="33" fillId="0" borderId="25" xfId="0" applyNumberFormat="1" applyFont="1" applyFill="1" applyBorder="1" applyAlignment="1">
      <alignment horizontal="center" vertical="center"/>
    </xf>
    <xf numFmtId="0" fontId="33" fillId="0" borderId="27" xfId="0" applyFont="1" applyFill="1" applyBorder="1" applyAlignment="1">
      <alignment horizontal="center" vertical="center"/>
    </xf>
    <xf numFmtId="0" fontId="0" fillId="0" borderId="0" xfId="0" applyFont="1" applyProtection="1">
      <protection locked="0"/>
    </xf>
    <xf numFmtId="0" fontId="0" fillId="0" borderId="0" xfId="0" applyFont="1" applyAlignment="1" applyProtection="1">
      <alignment horizontal="center"/>
      <protection locked="0"/>
    </xf>
    <xf numFmtId="0" fontId="22" fillId="37" borderId="20" xfId="0" applyFont="1" applyFill="1" applyBorder="1" applyAlignment="1">
      <alignment horizontal="center"/>
    </xf>
    <xf numFmtId="0" fontId="22" fillId="37" borderId="0" xfId="0" applyFont="1" applyFill="1" applyBorder="1" applyAlignment="1">
      <alignment horizontal="center"/>
    </xf>
    <xf numFmtId="0" fontId="22" fillId="37" borderId="21" xfId="0" applyFont="1" applyFill="1" applyBorder="1" applyAlignment="1">
      <alignment horizontal="center"/>
    </xf>
    <xf numFmtId="0" fontId="22" fillId="37" borderId="17" xfId="0" applyFont="1" applyFill="1" applyBorder="1" applyAlignment="1">
      <alignment horizontal="center"/>
    </xf>
    <xf numFmtId="0" fontId="22" fillId="37" borderId="18" xfId="0" applyFont="1" applyFill="1" applyBorder="1" applyAlignment="1">
      <alignment horizontal="center"/>
    </xf>
    <xf numFmtId="0" fontId="22" fillId="0" borderId="0" xfId="0" quotePrefix="1" applyFont="1" applyAlignment="1">
      <alignment horizontal="center"/>
    </xf>
    <xf numFmtId="0" fontId="40" fillId="0" borderId="0" xfId="0" applyFont="1" applyFill="1" applyAlignment="1">
      <alignment wrapText="1"/>
    </xf>
    <xf numFmtId="0" fontId="39" fillId="33" borderId="10" xfId="0" applyFont="1" applyFill="1" applyBorder="1" applyAlignment="1">
      <alignment horizontal="center" vertical="center"/>
    </xf>
    <xf numFmtId="0" fontId="18" fillId="33" borderId="14" xfId="0" applyFont="1" applyFill="1" applyBorder="1" applyAlignment="1">
      <alignment horizontal="center"/>
    </xf>
    <xf numFmtId="0" fontId="30" fillId="33" borderId="0" xfId="0" applyFont="1" applyFill="1" applyBorder="1" applyAlignment="1">
      <alignment horizontal="center" vertical="center"/>
    </xf>
    <xf numFmtId="0" fontId="30" fillId="33" borderId="10" xfId="0" applyFont="1" applyFill="1" applyBorder="1" applyAlignment="1">
      <alignment horizontal="center"/>
    </xf>
    <xf numFmtId="0" fontId="22" fillId="0" borderId="0" xfId="0" applyFont="1" applyAlignment="1"/>
    <xf numFmtId="0" fontId="23" fillId="0" borderId="11" xfId="0" applyFont="1" applyFill="1" applyBorder="1" applyAlignment="1">
      <alignment horizontal="right" vertical="center"/>
    </xf>
    <xf numFmtId="0" fontId="22" fillId="0" borderId="0" xfId="0" quotePrefix="1" applyFont="1" applyAlignment="1"/>
    <xf numFmtId="0" fontId="23" fillId="0" borderId="13" xfId="0" applyFont="1" applyFill="1" applyBorder="1" applyAlignment="1">
      <alignment horizontal="right" vertical="center"/>
    </xf>
    <xf numFmtId="0" fontId="18" fillId="33" borderId="10" xfId="0" applyFont="1" applyFill="1" applyBorder="1" applyAlignment="1"/>
    <xf numFmtId="0" fontId="23" fillId="0" borderId="10" xfId="0" applyFont="1" applyFill="1" applyBorder="1" applyAlignment="1">
      <alignment horizontal="right" vertical="center"/>
    </xf>
    <xf numFmtId="0" fontId="33" fillId="0" borderId="0" xfId="0" applyFont="1" applyFill="1" applyBorder="1" applyAlignment="1">
      <alignment horizontal="center" vertical="center"/>
    </xf>
    <xf numFmtId="0" fontId="22" fillId="0" borderId="0" xfId="0" applyFont="1" applyFill="1" applyAlignment="1"/>
    <xf numFmtId="0" fontId="23" fillId="0" borderId="0" xfId="0" applyFont="1" applyFill="1" applyBorder="1" applyAlignment="1">
      <alignment horizontal="right" vertical="center"/>
    </xf>
    <xf numFmtId="0" fontId="19" fillId="0" borderId="0" xfId="0" applyFont="1" applyFill="1" applyBorder="1" applyAlignment="1"/>
    <xf numFmtId="0" fontId="19" fillId="0" borderId="10" xfId="0" applyFont="1" applyFill="1" applyBorder="1" applyAlignment="1"/>
    <xf numFmtId="0" fontId="19" fillId="33" borderId="0" xfId="0" applyFont="1" applyFill="1" applyBorder="1" applyAlignment="1"/>
    <xf numFmtId="0" fontId="23" fillId="0" borderId="10" xfId="0" applyFont="1" applyFill="1" applyBorder="1" applyAlignment="1">
      <alignment horizontal="center" vertical="center"/>
    </xf>
    <xf numFmtId="0" fontId="32" fillId="36" borderId="0" xfId="0" applyFont="1" applyFill="1" applyAlignment="1"/>
    <xf numFmtId="0" fontId="18" fillId="33" borderId="0" xfId="0" applyFont="1" applyFill="1" applyBorder="1" applyAlignment="1"/>
    <xf numFmtId="0" fontId="19" fillId="0" borderId="0" xfId="0" applyFont="1" applyFill="1" applyAlignment="1"/>
    <xf numFmtId="0" fontId="18" fillId="0" borderId="0" xfId="0" applyFont="1" applyFill="1" applyAlignment="1" applyProtection="1">
      <alignment vertical="top"/>
      <protection locked="0"/>
    </xf>
    <xf numFmtId="0" fontId="18" fillId="0" borderId="0" xfId="0" applyFont="1" applyFill="1" applyAlignment="1" applyProtection="1">
      <alignment horizontal="center" vertical="top"/>
      <protection locked="0"/>
    </xf>
    <xf numFmtId="0" fontId="18" fillId="0" borderId="0" xfId="0" applyFont="1" applyFill="1" applyAlignment="1" applyProtection="1">
      <alignment horizontal="right" vertical="top"/>
      <protection locked="0"/>
    </xf>
    <xf numFmtId="0" fontId="18" fillId="0" borderId="0" xfId="0" applyFont="1" applyFill="1" applyBorder="1" applyAlignment="1" applyProtection="1">
      <alignment horizontal="center" vertical="top"/>
      <protection locked="0"/>
    </xf>
    <xf numFmtId="2" fontId="23" fillId="0" borderId="0" xfId="0" quotePrefix="1" applyNumberFormat="1" applyFont="1" applyFill="1" applyBorder="1" applyAlignment="1">
      <alignment horizontal="center" vertical="center"/>
    </xf>
    <xf numFmtId="0" fontId="22" fillId="36" borderId="23" xfId="0" applyFont="1" applyFill="1" applyBorder="1" applyAlignment="1">
      <alignment horizontal="center" vertical="center" wrapText="1"/>
    </xf>
    <xf numFmtId="0" fontId="32" fillId="0" borderId="24" xfId="0" applyFont="1" applyBorder="1" applyAlignment="1">
      <alignment horizontal="center" vertical="center"/>
    </xf>
    <xf numFmtId="0" fontId="32" fillId="0" borderId="26" xfId="0" applyFont="1" applyBorder="1" applyAlignment="1">
      <alignment horizontal="center" vertical="center"/>
    </xf>
    <xf numFmtId="0" fontId="32" fillId="0" borderId="28" xfId="0" applyFont="1" applyBorder="1" applyAlignment="1">
      <alignment horizontal="center" vertical="center"/>
    </xf>
    <xf numFmtId="10" fontId="32" fillId="0" borderId="25"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0" xfId="0" quotePrefix="1" applyFont="1" applyAlignment="1">
      <alignment horizontal="center" vertical="center"/>
    </xf>
    <xf numFmtId="0" fontId="22" fillId="0" borderId="0" xfId="0" applyFont="1" applyFill="1" applyAlignment="1">
      <alignment horizontal="center" vertical="center"/>
    </xf>
    <xf numFmtId="0" fontId="30" fillId="33" borderId="10" xfId="0" applyFont="1" applyFill="1" applyBorder="1" applyAlignment="1">
      <alignment horizontal="center" vertical="center" wrapText="1"/>
    </xf>
    <xf numFmtId="10" fontId="22" fillId="0" borderId="0" xfId="0" applyNumberFormat="1" applyFont="1" applyFill="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41" fillId="0" borderId="10" xfId="0" applyFont="1" applyFill="1" applyBorder="1" applyAlignment="1">
      <alignment vertical="center" wrapText="1"/>
    </xf>
    <xf numFmtId="0" fontId="41" fillId="0" borderId="10" xfId="0" applyFont="1" applyFill="1" applyBorder="1" applyAlignment="1">
      <alignment horizontal="center" vertical="center" wrapText="1"/>
    </xf>
    <xf numFmtId="0" fontId="42" fillId="0" borderId="10" xfId="0" applyFont="1" applyBorder="1" applyAlignment="1">
      <alignment horizontal="center" vertical="center" wrapText="1"/>
    </xf>
    <xf numFmtId="0" fontId="41" fillId="0" borderId="10" xfId="0" applyFont="1" applyBorder="1" applyAlignment="1">
      <alignment vertical="center" wrapText="1"/>
    </xf>
    <xf numFmtId="0" fontId="41" fillId="0" borderId="0" xfId="0" applyFont="1" applyBorder="1" applyAlignment="1">
      <alignment vertical="center" wrapText="1"/>
    </xf>
    <xf numFmtId="0" fontId="41" fillId="0" borderId="0" xfId="0" applyFont="1" applyFill="1" applyAlignment="1">
      <alignment vertical="center" wrapText="1"/>
    </xf>
    <xf numFmtId="0" fontId="41" fillId="0" borderId="0" xfId="0" applyFont="1" applyAlignment="1">
      <alignment vertical="center" wrapText="1"/>
    </xf>
    <xf numFmtId="0" fontId="41" fillId="0" borderId="10" xfId="0" applyFont="1" applyBorder="1" applyAlignment="1">
      <alignment wrapText="1"/>
    </xf>
    <xf numFmtId="0" fontId="41" fillId="0" borderId="10" xfId="0" applyFont="1" applyBorder="1" applyAlignment="1">
      <alignment vertical="top" wrapText="1"/>
    </xf>
    <xf numFmtId="0" fontId="41" fillId="0" borderId="10" xfId="0" applyFont="1" applyBorder="1" applyAlignment="1">
      <alignment horizontal="center" wrapText="1"/>
    </xf>
    <xf numFmtId="0" fontId="41" fillId="0" borderId="0" xfId="0" applyFont="1" applyAlignment="1">
      <alignment wrapText="1"/>
    </xf>
    <xf numFmtId="0" fontId="18" fillId="33" borderId="10" xfId="0" applyFont="1" applyFill="1" applyBorder="1" applyAlignment="1">
      <alignment vertical="center"/>
    </xf>
    <xf numFmtId="0" fontId="19" fillId="33" borderId="11" xfId="0" applyFont="1" applyFill="1" applyBorder="1" applyAlignment="1">
      <alignment vertical="center"/>
    </xf>
    <xf numFmtId="0" fontId="19" fillId="33" borderId="1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18" fillId="35" borderId="30" xfId="0" applyFont="1" applyFill="1" applyBorder="1" applyAlignment="1" applyProtection="1">
      <alignment vertical="center"/>
      <protection locked="0"/>
    </xf>
    <xf numFmtId="0" fontId="18" fillId="35" borderId="31" xfId="0" applyFont="1" applyFill="1" applyBorder="1" applyAlignment="1" applyProtection="1">
      <alignment vertical="center"/>
      <protection locked="0"/>
    </xf>
    <xf numFmtId="0" fontId="18" fillId="35" borderId="32" xfId="0" applyFont="1" applyFill="1" applyBorder="1" applyAlignment="1" applyProtection="1">
      <alignment vertical="center"/>
      <protection locked="0"/>
    </xf>
    <xf numFmtId="0" fontId="22" fillId="0" borderId="0" xfId="0" applyFont="1" applyAlignment="1">
      <alignment vertical="center"/>
    </xf>
    <xf numFmtId="0" fontId="22" fillId="0" borderId="10" xfId="0" applyFont="1" applyBorder="1" applyAlignment="1">
      <alignment horizontal="left" vertical="top" wrapText="1"/>
    </xf>
    <xf numFmtId="0" fontId="31" fillId="33" borderId="10" xfId="0" applyFont="1" applyFill="1" applyBorder="1" applyAlignment="1">
      <alignment horizontal="left" vertical="top" wrapText="1"/>
    </xf>
    <xf numFmtId="0" fontId="31" fillId="33" borderId="11"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11" xfId="0" quotePrefix="1" applyFont="1" applyBorder="1" applyAlignment="1">
      <alignment horizontal="left" vertical="top" wrapText="1"/>
    </xf>
    <xf numFmtId="0" fontId="22" fillId="0" borderId="10" xfId="0" applyFont="1" applyFill="1" applyBorder="1" applyAlignment="1">
      <alignment horizontal="left" vertical="top" wrapText="1"/>
    </xf>
    <xf numFmtId="0" fontId="22" fillId="0" borderId="0" xfId="0" applyFont="1" applyBorder="1" applyAlignment="1">
      <alignment horizontal="left" vertical="top" wrapText="1"/>
    </xf>
    <xf numFmtId="0" fontId="22" fillId="0" borderId="10" xfId="0" applyNumberFormat="1" applyFont="1" applyFill="1" applyBorder="1" applyAlignment="1">
      <alignment horizontal="left" vertical="top" wrapText="1"/>
    </xf>
    <xf numFmtId="0" fontId="22" fillId="0" borderId="0" xfId="0" applyFont="1" applyFill="1" applyAlignment="1">
      <alignment horizontal="left" vertical="top" wrapText="1"/>
    </xf>
    <xf numFmtId="0" fontId="22" fillId="0" borderId="0" xfId="0" applyFont="1" applyAlignment="1">
      <alignment horizontal="left" vertical="top" wrapText="1"/>
    </xf>
    <xf numFmtId="0" fontId="0" fillId="0" borderId="0" xfId="0" applyAlignment="1">
      <alignment horizontal="left" vertical="top"/>
    </xf>
    <xf numFmtId="0" fontId="22" fillId="0" borderId="10" xfId="0" applyNumberFormat="1" applyFont="1" applyBorder="1" applyAlignment="1">
      <alignment horizontal="left" vertical="top" wrapText="1"/>
    </xf>
    <xf numFmtId="0" fontId="22" fillId="0" borderId="0" xfId="0" quotePrefix="1" applyFont="1" applyAlignment="1">
      <alignment horizontal="left" vertical="top" wrapText="1"/>
    </xf>
    <xf numFmtId="0" fontId="30" fillId="33" borderId="11" xfId="0" applyFont="1" applyFill="1" applyBorder="1" applyAlignment="1">
      <alignment horizontal="center" vertical="center" wrapText="1"/>
    </xf>
    <xf numFmtId="0" fontId="32" fillId="36" borderId="24" xfId="0" applyFont="1" applyFill="1" applyBorder="1" applyAlignment="1">
      <alignment horizontal="center" vertical="center"/>
    </xf>
    <xf numFmtId="0" fontId="33" fillId="36" borderId="25" xfId="0" applyFont="1" applyFill="1" applyBorder="1" applyAlignment="1">
      <alignment horizontal="center" vertical="center"/>
    </xf>
    <xf numFmtId="0" fontId="33" fillId="36" borderId="25" xfId="0" applyNumberFormat="1" applyFont="1" applyFill="1" applyBorder="1" applyAlignment="1">
      <alignment horizontal="center" vertical="center"/>
    </xf>
    <xf numFmtId="0" fontId="43" fillId="0" borderId="0" xfId="0" applyFont="1" applyAlignment="1">
      <alignment horizontal="center" vertical="center"/>
    </xf>
    <xf numFmtId="0" fontId="43" fillId="0" borderId="0" xfId="0" applyFont="1" applyAlignment="1" applyProtection="1">
      <alignment horizontal="center" vertical="center"/>
      <protection locked="0"/>
    </xf>
    <xf numFmtId="0" fontId="0" fillId="33" borderId="0" xfId="0" applyFill="1" applyAlignment="1">
      <alignment horizontal="center" vertical="center" wrapText="1"/>
    </xf>
    <xf numFmtId="0" fontId="0" fillId="0" borderId="0" xfId="0" applyAlignment="1">
      <alignment horizontal="center" vertical="center"/>
    </xf>
    <xf numFmtId="0" fontId="22" fillId="36" borderId="19" xfId="0" applyFont="1" applyFill="1" applyBorder="1" applyAlignment="1">
      <alignment horizontal="center" vertical="center" wrapText="1"/>
    </xf>
    <xf numFmtId="0" fontId="30" fillId="33" borderId="15" xfId="0" applyFont="1" applyFill="1" applyBorder="1" applyAlignment="1">
      <alignment horizontal="center" vertical="center" wrapText="1"/>
    </xf>
    <xf numFmtId="0" fontId="22" fillId="36" borderId="22" xfId="0" applyFont="1" applyFill="1" applyBorder="1" applyAlignment="1">
      <alignment horizontal="center" vertical="center" wrapText="1"/>
    </xf>
    <xf numFmtId="0" fontId="46" fillId="37" borderId="13" xfId="0" applyFont="1" applyFill="1" applyBorder="1" applyAlignment="1">
      <alignment horizontal="right" vertical="center"/>
    </xf>
    <xf numFmtId="0" fontId="31" fillId="33" borderId="10" xfId="0" applyFont="1" applyFill="1" applyBorder="1" applyAlignment="1">
      <alignment horizontal="center" vertical="center" wrapText="1"/>
    </xf>
    <xf numFmtId="10" fontId="33" fillId="36" borderId="25" xfId="0" applyNumberFormat="1" applyFont="1" applyFill="1" applyBorder="1" applyAlignment="1">
      <alignment horizontal="center" vertical="center"/>
    </xf>
    <xf numFmtId="10" fontId="18" fillId="0" borderId="10" xfId="0" applyNumberFormat="1" applyFont="1" applyFill="1" applyBorder="1" applyAlignment="1">
      <alignment horizontal="center" vertical="center"/>
    </xf>
    <xf numFmtId="0" fontId="22" fillId="0" borderId="10" xfId="0" quotePrefix="1" applyFont="1" applyFill="1" applyBorder="1" applyAlignment="1">
      <alignment horizontal="center" vertical="center"/>
    </xf>
    <xf numFmtId="10" fontId="18" fillId="0" borderId="10" xfId="0" applyNumberFormat="1" applyFont="1" applyFill="1" applyBorder="1" applyAlignment="1">
      <alignment horizontal="center"/>
    </xf>
    <xf numFmtId="2" fontId="18" fillId="0" borderId="11" xfId="0" applyNumberFormat="1" applyFont="1" applyFill="1" applyBorder="1" applyAlignment="1">
      <alignment horizontal="center" vertical="center"/>
    </xf>
    <xf numFmtId="164" fontId="18" fillId="0" borderId="11" xfId="0" applyNumberFormat="1" applyFont="1" applyFill="1" applyBorder="1" applyAlignment="1">
      <alignment horizontal="center" vertical="center"/>
    </xf>
    <xf numFmtId="10" fontId="23" fillId="0" borderId="10" xfId="0" quotePrefix="1" applyNumberFormat="1" applyFont="1" applyFill="1" applyBorder="1" applyAlignment="1">
      <alignment horizontal="center" vertical="center"/>
    </xf>
    <xf numFmtId="2" fontId="23" fillId="0" borderId="11" xfId="0" applyNumberFormat="1" applyFont="1" applyFill="1" applyBorder="1" applyAlignment="1">
      <alignment horizontal="center" vertical="center"/>
    </xf>
    <xf numFmtId="10" fontId="23" fillId="0" borderId="11"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18" fillId="35" borderId="10" xfId="0" applyNumberFormat="1" applyFont="1" applyFill="1" applyBorder="1" applyAlignment="1">
      <alignment horizontal="center" vertical="center"/>
    </xf>
    <xf numFmtId="2" fontId="18" fillId="35" borderId="11" xfId="0" applyNumberFormat="1" applyFont="1" applyFill="1" applyBorder="1" applyAlignment="1">
      <alignment horizontal="center" vertical="center"/>
    </xf>
    <xf numFmtId="2" fontId="23" fillId="35" borderId="11" xfId="0" applyNumberFormat="1" applyFont="1" applyFill="1" applyBorder="1" applyAlignment="1">
      <alignment horizontal="center" vertical="center"/>
    </xf>
    <xf numFmtId="0" fontId="22" fillId="35" borderId="10" xfId="0" quotePrefix="1" applyFont="1" applyFill="1" applyBorder="1" applyAlignment="1">
      <alignment horizontal="center" vertical="center"/>
    </xf>
    <xf numFmtId="0" fontId="50" fillId="0" borderId="0" xfId="0" applyFont="1" applyAlignment="1">
      <alignment horizontal="center"/>
    </xf>
    <xf numFmtId="0" fontId="47" fillId="0" borderId="16" xfId="0" applyFont="1" applyFill="1" applyBorder="1" applyAlignment="1" applyProtection="1">
      <alignment horizontal="left"/>
      <protection locked="0"/>
    </xf>
    <xf numFmtId="0" fontId="50" fillId="0" borderId="0" xfId="0" applyFont="1" applyAlignment="1" applyProtection="1">
      <alignment horizontal="center"/>
      <protection locked="0"/>
    </xf>
    <xf numFmtId="0" fontId="23" fillId="0" borderId="11" xfId="0" applyFont="1" applyFill="1" applyBorder="1" applyAlignment="1">
      <alignment horizontal="right" vertical="center" wrapText="1"/>
    </xf>
    <xf numFmtId="0" fontId="23" fillId="0" borderId="13" xfId="0" applyFont="1" applyFill="1" applyBorder="1" applyAlignment="1">
      <alignment horizontal="right" vertical="center" wrapText="1"/>
    </xf>
    <xf numFmtId="0" fontId="23" fillId="0" borderId="10" xfId="0" applyFont="1" applyFill="1" applyBorder="1" applyAlignment="1">
      <alignment horizontal="right" vertical="center" wrapText="1"/>
    </xf>
    <xf numFmtId="0" fontId="22" fillId="0" borderId="0" xfId="0" applyFont="1" applyFill="1" applyBorder="1" applyAlignment="1">
      <alignment horizontal="center"/>
    </xf>
    <xf numFmtId="0" fontId="0" fillId="0" borderId="0" xfId="0" applyAlignment="1" applyProtection="1">
      <alignment vertical="center"/>
    </xf>
    <xf numFmtId="0" fontId="0" fillId="0" borderId="0" xfId="0" applyFont="1" applyProtection="1"/>
    <xf numFmtId="0" fontId="43" fillId="0" borderId="0" xfId="0" applyFont="1" applyAlignment="1" applyProtection="1">
      <alignment horizontal="center" vertical="center"/>
    </xf>
    <xf numFmtId="0" fontId="50" fillId="0" borderId="0" xfId="0" applyFont="1" applyAlignment="1" applyProtection="1">
      <alignment horizontal="center"/>
    </xf>
    <xf numFmtId="0" fontId="34" fillId="0" borderId="0" xfId="0" applyFont="1" applyProtection="1"/>
    <xf numFmtId="0" fontId="34" fillId="0" borderId="0" xfId="0" applyFont="1" applyBorder="1" applyAlignment="1" applyProtection="1">
      <alignment horizontal="center"/>
    </xf>
    <xf numFmtId="0" fontId="0" fillId="0" borderId="0" xfId="0" applyFill="1" applyAlignment="1" applyProtection="1">
      <alignment horizontal="center" vertical="top" wrapText="1"/>
    </xf>
    <xf numFmtId="0" fontId="0" fillId="0" borderId="0" xfId="0" applyProtection="1"/>
    <xf numFmtId="0" fontId="35" fillId="0" borderId="0" xfId="0" applyFont="1" applyFill="1" applyAlignment="1" applyProtection="1">
      <alignment horizontal="right"/>
    </xf>
    <xf numFmtId="0" fontId="26" fillId="0" borderId="0" xfId="0" applyFont="1" applyFill="1" applyProtection="1"/>
    <xf numFmtId="0" fontId="43" fillId="0" borderId="0" xfId="0" applyFont="1" applyFill="1" applyAlignment="1" applyProtection="1">
      <alignment horizontal="center" vertical="center"/>
    </xf>
    <xf numFmtId="0" fontId="50" fillId="0" borderId="0" xfId="0" applyFont="1" applyFill="1" applyAlignment="1" applyProtection="1">
      <alignment horizontal="center"/>
    </xf>
    <xf numFmtId="0" fontId="25" fillId="0" borderId="0" xfId="0" applyFont="1" applyFill="1" applyProtection="1"/>
    <xf numFmtId="0" fontId="57" fillId="0" borderId="0" xfId="0" applyFont="1" applyFill="1" applyAlignment="1" applyProtection="1">
      <alignment horizontal="right"/>
    </xf>
    <xf numFmtId="0" fontId="31" fillId="0" borderId="0" xfId="0" applyFont="1" applyProtection="1"/>
    <xf numFmtId="0" fontId="31" fillId="0" borderId="0" xfId="0" applyFont="1" applyFill="1" applyProtection="1"/>
    <xf numFmtId="0" fontId="0" fillId="0" borderId="0" xfId="0" applyFont="1" applyFill="1" applyProtection="1"/>
    <xf numFmtId="0" fontId="50" fillId="0" borderId="0" xfId="0" applyFont="1" applyFill="1" applyAlignment="1" applyProtection="1">
      <alignment horizontal="left"/>
    </xf>
    <xf numFmtId="0" fontId="58" fillId="0" borderId="10" xfId="0" applyFont="1" applyFill="1" applyBorder="1" applyAlignment="1" applyProtection="1">
      <alignment horizontal="center"/>
    </xf>
    <xf numFmtId="0" fontId="48" fillId="0" borderId="10" xfId="0" applyFont="1" applyFill="1" applyBorder="1" applyAlignment="1" applyProtection="1">
      <alignment horizontal="center"/>
    </xf>
    <xf numFmtId="0" fontId="27" fillId="0" borderId="0" xfId="0" applyFont="1" applyFill="1" applyBorder="1" applyProtection="1"/>
    <xf numFmtId="0" fontId="44" fillId="0" borderId="0" xfId="0" applyFont="1" applyFill="1" applyBorder="1" applyAlignment="1" applyProtection="1">
      <alignment horizontal="center" vertical="center"/>
    </xf>
    <xf numFmtId="0" fontId="52" fillId="0" borderId="0" xfId="0" applyFont="1" applyAlignment="1" applyProtection="1">
      <alignment horizontal="left"/>
    </xf>
    <xf numFmtId="0" fontId="55" fillId="0" borderId="11" xfId="0" applyFont="1" applyFill="1" applyBorder="1" applyAlignment="1" applyProtection="1">
      <alignment horizontal="right" vertical="center" wrapText="1"/>
    </xf>
    <xf numFmtId="2" fontId="48" fillId="0" borderId="10" xfId="0" applyNumberFormat="1" applyFont="1" applyFill="1" applyBorder="1" applyAlignment="1" applyProtection="1">
      <alignment horizontal="center" vertical="center" wrapText="1"/>
    </xf>
    <xf numFmtId="10" fontId="48" fillId="35" borderId="10" xfId="0" applyNumberFormat="1" applyFont="1" applyFill="1" applyBorder="1" applyAlignment="1" applyProtection="1">
      <alignment horizontal="center" vertical="center" wrapText="1"/>
    </xf>
    <xf numFmtId="0" fontId="25" fillId="0" borderId="0" xfId="0" applyFont="1" applyFill="1" applyAlignment="1" applyProtection="1">
      <alignment vertical="center" wrapText="1"/>
    </xf>
    <xf numFmtId="0" fontId="44" fillId="0" borderId="0" xfId="0" applyFont="1" applyFill="1" applyAlignment="1" applyProtection="1">
      <alignment horizontal="center" vertical="center" wrapText="1"/>
    </xf>
    <xf numFmtId="2" fontId="48" fillId="35" borderId="10" xfId="0" applyNumberFormat="1" applyFont="1" applyFill="1" applyBorder="1" applyAlignment="1" applyProtection="1">
      <alignment horizontal="center" vertical="center" wrapText="1"/>
    </xf>
    <xf numFmtId="10" fontId="48" fillId="0" borderId="10" xfId="0" applyNumberFormat="1" applyFont="1" applyFill="1" applyBorder="1" applyAlignment="1" applyProtection="1">
      <alignment horizontal="center" vertical="center" wrapText="1"/>
    </xf>
    <xf numFmtId="0" fontId="25" fillId="0" borderId="0" xfId="0" applyFont="1" applyFill="1" applyAlignment="1" applyProtection="1">
      <alignment wrapText="1"/>
    </xf>
    <xf numFmtId="10" fontId="25" fillId="0" borderId="0" xfId="0" applyNumberFormat="1" applyFont="1" applyFill="1" applyAlignment="1" applyProtection="1">
      <alignment wrapText="1"/>
    </xf>
    <xf numFmtId="10" fontId="25" fillId="0" borderId="12" xfId="0" applyNumberFormat="1" applyFont="1" applyFill="1" applyBorder="1" applyAlignment="1" applyProtection="1">
      <alignment vertical="center" wrapText="1"/>
    </xf>
    <xf numFmtId="0" fontId="24" fillId="0" borderId="0" xfId="0" applyFont="1" applyFill="1" applyAlignment="1" applyProtection="1">
      <alignment wrapText="1"/>
    </xf>
    <xf numFmtId="0" fontId="48" fillId="0" borderId="0" xfId="0" applyFont="1" applyFill="1" applyAlignment="1" applyProtection="1">
      <alignment horizontal="right" vertical="center" wrapText="1"/>
    </xf>
    <xf numFmtId="0" fontId="49" fillId="0" borderId="0" xfId="0" applyFont="1" applyFill="1" applyProtection="1"/>
    <xf numFmtId="0" fontId="25" fillId="0" borderId="0" xfId="0" applyFont="1" applyFill="1" applyAlignment="1" applyProtection="1">
      <alignment vertical="center"/>
    </xf>
    <xf numFmtId="0" fontId="44" fillId="0" borderId="0" xfId="0" applyFont="1" applyFill="1" applyAlignment="1" applyProtection="1">
      <alignment horizontal="center" vertical="center"/>
    </xf>
    <xf numFmtId="0" fontId="47" fillId="0" borderId="0" xfId="0" applyFont="1" applyFill="1" applyAlignment="1" applyProtection="1">
      <alignment horizontal="left" vertical="top" wrapText="1"/>
    </xf>
    <xf numFmtId="0" fontId="58" fillId="0" borderId="10" xfId="0" applyFont="1" applyFill="1" applyBorder="1" applyAlignment="1" applyProtection="1">
      <alignment horizontal="center" vertical="center" wrapText="1"/>
    </xf>
    <xf numFmtId="0" fontId="55" fillId="0" borderId="10" xfId="0" applyFont="1" applyFill="1" applyBorder="1" applyAlignment="1" applyProtection="1">
      <alignment horizontal="right" vertical="center" wrapText="1"/>
    </xf>
    <xf numFmtId="0" fontId="25" fillId="0" borderId="12" xfId="0" applyFont="1" applyFill="1" applyBorder="1" applyAlignment="1" applyProtection="1">
      <alignment vertical="center"/>
    </xf>
    <xf numFmtId="0" fontId="55" fillId="0" borderId="0" xfId="0" applyFont="1" applyFill="1" applyBorder="1" applyAlignment="1" applyProtection="1">
      <alignment horizontal="right" vertical="center" wrapText="1"/>
    </xf>
    <xf numFmtId="0" fontId="49" fillId="0" borderId="0" xfId="0" applyFont="1" applyFill="1" applyBorder="1" applyProtection="1"/>
    <xf numFmtId="0" fontId="56"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xf>
    <xf numFmtId="10" fontId="25" fillId="0" borderId="10" xfId="0" applyNumberFormat="1" applyFont="1" applyFill="1" applyBorder="1" applyAlignment="1" applyProtection="1">
      <alignment horizontal="center" vertical="center" wrapText="1"/>
    </xf>
    <xf numFmtId="2" fontId="48" fillId="0" borderId="0" xfId="0" applyNumberFormat="1" applyFont="1" applyFill="1" applyBorder="1" applyAlignment="1" applyProtection="1">
      <alignment horizontal="center" vertical="center"/>
    </xf>
    <xf numFmtId="10" fontId="27" fillId="0" borderId="0"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xf>
    <xf numFmtId="0" fontId="48" fillId="0" borderId="0" xfId="0" applyFont="1" applyFill="1" applyProtection="1"/>
    <xf numFmtId="0" fontId="35" fillId="0" borderId="0" xfId="0" applyFont="1" applyFill="1" applyAlignment="1" applyProtection="1">
      <alignment horizontal="left"/>
    </xf>
    <xf numFmtId="0" fontId="24" fillId="0" borderId="0" xfId="0" applyFont="1" applyFill="1" applyAlignment="1" applyProtection="1">
      <alignment vertical="center" wrapText="1"/>
    </xf>
    <xf numFmtId="0" fontId="48" fillId="0" borderId="12" xfId="0" applyFont="1" applyFill="1" applyBorder="1" applyAlignment="1" applyProtection="1">
      <alignment vertical="center"/>
    </xf>
    <xf numFmtId="0" fontId="25" fillId="0" borderId="0" xfId="0" applyFont="1" applyFill="1" applyBorder="1" applyAlignment="1" applyProtection="1">
      <alignment vertical="center"/>
    </xf>
    <xf numFmtId="0" fontId="45" fillId="0" borderId="0" xfId="0" applyFont="1" applyFill="1" applyAlignment="1" applyProtection="1">
      <alignment horizontal="center" vertical="center"/>
    </xf>
    <xf numFmtId="0" fontId="54" fillId="0" borderId="0" xfId="0" applyFont="1" applyFill="1" applyAlignment="1" applyProtection="1">
      <alignment horizontal="center"/>
    </xf>
    <xf numFmtId="0" fontId="50" fillId="0" borderId="0" xfId="0" applyFont="1" applyAlignment="1" applyProtection="1">
      <alignment horizontal="left" vertical="top"/>
      <protection locked="0"/>
    </xf>
    <xf numFmtId="0" fontId="50" fillId="0" borderId="0" xfId="0" applyFont="1" applyAlignment="1" applyProtection="1">
      <alignment horizontal="left" vertical="top" wrapText="1"/>
      <protection locked="0"/>
    </xf>
    <xf numFmtId="0" fontId="50" fillId="0" borderId="0" xfId="0" applyFont="1" applyAlignment="1" applyProtection="1">
      <alignment horizontal="center" wrapText="1"/>
      <protection locked="0"/>
    </xf>
    <xf numFmtId="0" fontId="50" fillId="0" borderId="0" xfId="0" applyFont="1" applyAlignment="1" applyProtection="1">
      <alignment horizontal="left"/>
      <protection locked="0"/>
    </xf>
    <xf numFmtId="0" fontId="59" fillId="0" borderId="0" xfId="0" applyFont="1" applyProtection="1">
      <protection locked="0"/>
    </xf>
    <xf numFmtId="0" fontId="60" fillId="0" borderId="0" xfId="0" applyFont="1" applyAlignment="1" applyProtection="1">
      <alignment horizontal="center" vertical="center"/>
      <protection locked="0"/>
    </xf>
    <xf numFmtId="0" fontId="59" fillId="0" borderId="0" xfId="0" applyFont="1" applyAlignment="1" applyProtection="1">
      <alignment horizontal="center"/>
      <protection locked="0"/>
    </xf>
    <xf numFmtId="0" fontId="59" fillId="0" borderId="0" xfId="0" applyFont="1"/>
    <xf numFmtId="10" fontId="48" fillId="33" borderId="10" xfId="0" applyNumberFormat="1" applyFont="1" applyFill="1" applyBorder="1" applyAlignment="1" applyProtection="1">
      <alignment horizontal="center" vertical="center" wrapText="1"/>
    </xf>
    <xf numFmtId="2" fontId="48" fillId="33" borderId="10" xfId="0" applyNumberFormat="1" applyFont="1" applyFill="1" applyBorder="1" applyAlignment="1" applyProtection="1">
      <alignment horizontal="center" vertical="center" wrapText="1"/>
    </xf>
    <xf numFmtId="10" fontId="25" fillId="33" borderId="10" xfId="0" applyNumberFormat="1" applyFont="1" applyFill="1" applyBorder="1" applyAlignment="1" applyProtection="1">
      <alignment horizontal="center" vertical="center" wrapText="1"/>
    </xf>
    <xf numFmtId="0" fontId="50" fillId="33" borderId="0" xfId="0" applyFont="1" applyFill="1" applyAlignment="1" applyProtection="1">
      <alignment vertical="top" wrapText="1"/>
    </xf>
    <xf numFmtId="0" fontId="43" fillId="33" borderId="0" xfId="0" applyFont="1" applyFill="1" applyBorder="1" applyAlignment="1" applyProtection="1">
      <alignment horizontal="center" vertical="center"/>
    </xf>
    <xf numFmtId="0" fontId="51" fillId="33" borderId="0" xfId="0" applyFont="1" applyFill="1" applyBorder="1" applyAlignment="1" applyProtection="1">
      <alignment horizontal="center"/>
    </xf>
    <xf numFmtId="0" fontId="60" fillId="0" borderId="0" xfId="0" applyFont="1" applyFill="1" applyProtection="1">
      <protection locked="0"/>
    </xf>
    <xf numFmtId="0" fontId="60" fillId="0" borderId="0" xfId="0" applyFont="1" applyFill="1" applyAlignment="1" applyProtection="1">
      <alignment horizontal="left"/>
      <protection locked="0"/>
    </xf>
    <xf numFmtId="0" fontId="50" fillId="38" borderId="0" xfId="0" applyFont="1" applyFill="1" applyAlignment="1" applyProtection="1">
      <alignment vertical="top" wrapText="1"/>
    </xf>
    <xf numFmtId="0" fontId="47" fillId="33" borderId="0" xfId="0" applyFont="1" applyFill="1" applyAlignment="1" applyProtection="1">
      <alignment horizontal="left" vertical="top" wrapText="1"/>
    </xf>
    <xf numFmtId="0" fontId="48" fillId="0" borderId="0" xfId="0" applyFont="1" applyFill="1" applyAlignment="1" applyProtection="1">
      <alignment vertical="top"/>
      <protection locked="0"/>
    </xf>
    <xf numFmtId="0" fontId="31" fillId="0" borderId="0" xfId="0" applyFont="1" applyAlignment="1"/>
    <xf numFmtId="0" fontId="32" fillId="36" borderId="26" xfId="0" applyFont="1" applyFill="1" applyBorder="1" applyAlignment="1">
      <alignment horizontal="center" vertical="center"/>
    </xf>
    <xf numFmtId="10" fontId="33" fillId="36" borderId="27" xfId="0" applyNumberFormat="1" applyFont="1" applyFill="1" applyBorder="1" applyAlignment="1">
      <alignment horizontal="center" vertical="center"/>
    </xf>
    <xf numFmtId="0" fontId="50" fillId="0" borderId="16" xfId="0" applyFont="1" applyBorder="1" applyAlignment="1" applyProtection="1">
      <alignment horizontal="left" vertical="center"/>
      <protection locked="0"/>
    </xf>
    <xf numFmtId="0" fontId="31" fillId="0" borderId="0" xfId="0" applyFont="1" applyAlignment="1" applyProtection="1">
      <protection locked="0"/>
    </xf>
    <xf numFmtId="49" fontId="56" fillId="0" borderId="33" xfId="0" applyNumberFormat="1" applyFont="1" applyBorder="1" applyAlignment="1" applyProtection="1">
      <alignment horizontal="center" vertical="center"/>
      <protection locked="0"/>
    </xf>
    <xf numFmtId="49" fontId="56" fillId="0" borderId="34" xfId="0" applyNumberFormat="1" applyFont="1" applyBorder="1" applyAlignment="1" applyProtection="1">
      <alignment horizontal="center" vertical="center"/>
      <protection locked="0"/>
    </xf>
    <xf numFmtId="14" fontId="48" fillId="0" borderId="33" xfId="0" applyNumberFormat="1" applyFont="1" applyFill="1" applyBorder="1" applyAlignment="1" applyProtection="1">
      <alignment horizontal="center" vertical="top" wrapText="1"/>
      <protection locked="0"/>
    </xf>
    <xf numFmtId="49" fontId="48" fillId="0" borderId="34" xfId="0" applyNumberFormat="1" applyFont="1" applyFill="1" applyBorder="1" applyAlignment="1" applyProtection="1">
      <alignment horizontal="center"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color rgb="FFFF0000"/>
      </font>
    </dxf>
    <dxf>
      <font>
        <color rgb="FFFF0000"/>
      </font>
    </dxf>
    <dxf>
      <font>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90312</xdr:colOff>
      <xdr:row>2</xdr:row>
      <xdr:rowOff>226249</xdr:rowOff>
    </xdr:from>
    <xdr:to>
      <xdr:col>0</xdr:col>
      <xdr:colOff>920750</xdr:colOff>
      <xdr:row>5</xdr:row>
      <xdr:rowOff>142875</xdr:rowOff>
    </xdr:to>
    <xdr:sp macro="[0]!import_new_data" textlink="">
      <xdr:nvSpPr>
        <xdr:cNvPr id="2" name="Oval 1"/>
        <xdr:cNvSpPr/>
      </xdr:nvSpPr>
      <xdr:spPr>
        <a:xfrm>
          <a:off x="90312" y="861249"/>
          <a:ext cx="830438" cy="758001"/>
        </a:xfrm>
        <a:prstGeom prst="ellipse">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New Import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M243"/>
  <sheetViews>
    <sheetView tabSelected="1" view="pageLayout" topLeftCell="B62" zoomScale="60" zoomScaleNormal="60" zoomScalePageLayoutView="60" workbookViewId="0">
      <selection activeCell="F67" sqref="F67"/>
    </sheetView>
  </sheetViews>
  <sheetFormatPr defaultRowHeight="15.95" customHeight="1"/>
  <cols>
    <col min="1" max="1" width="42.5703125" style="11" customWidth="1"/>
    <col min="2" max="3" width="13.7109375" style="11" customWidth="1"/>
    <col min="4" max="4" width="13.85546875" style="11" customWidth="1"/>
    <col min="5" max="5" width="7.42578125" style="168" customWidth="1"/>
    <col min="6" max="6" width="122.140625" style="191" customWidth="1"/>
    <col min="7" max="7" width="2.28515625" style="11" customWidth="1"/>
    <col min="8" max="8" width="9.140625" style="26" hidden="1" customWidth="1"/>
    <col min="9" max="9" width="3.28515625" style="11" customWidth="1"/>
    <col min="10" max="10" width="12.7109375" style="11" customWidth="1"/>
    <col min="11" max="12" width="11.28515625" style="11" customWidth="1"/>
    <col min="13" max="13" width="12.42578125" style="11" customWidth="1"/>
    <col min="14" max="256" width="9.140625" style="11"/>
    <col min="257" max="257" width="62.28515625" style="11" customWidth="1"/>
    <col min="258" max="258" width="15.28515625" style="11" customWidth="1"/>
    <col min="259" max="259" width="15.85546875" style="11" customWidth="1"/>
    <col min="260" max="260" width="22.5703125" style="11" customWidth="1"/>
    <col min="261" max="261" width="15.5703125" style="11" customWidth="1"/>
    <col min="262" max="264" width="9.140625" style="11"/>
    <col min="265" max="265" width="27" style="11" customWidth="1"/>
    <col min="266" max="266" width="46.140625" style="11" customWidth="1"/>
    <col min="267" max="267" width="45" style="11" customWidth="1"/>
    <col min="268" max="268" width="11.28515625" style="11" customWidth="1"/>
    <col min="269" max="269" width="12.42578125" style="11" customWidth="1"/>
    <col min="270" max="512" width="9.140625" style="11"/>
    <col min="513" max="513" width="62.28515625" style="11" customWidth="1"/>
    <col min="514" max="514" width="15.28515625" style="11" customWidth="1"/>
    <col min="515" max="515" width="15.85546875" style="11" customWidth="1"/>
    <col min="516" max="516" width="22.5703125" style="11" customWidth="1"/>
    <col min="517" max="517" width="15.5703125" style="11" customWidth="1"/>
    <col min="518" max="520" width="9.140625" style="11"/>
    <col min="521" max="521" width="27" style="11" customWidth="1"/>
    <col min="522" max="522" width="46.140625" style="11" customWidth="1"/>
    <col min="523" max="523" width="45" style="11" customWidth="1"/>
    <col min="524" max="524" width="11.28515625" style="11" customWidth="1"/>
    <col min="525" max="525" width="12.42578125" style="11" customWidth="1"/>
    <col min="526" max="768" width="9.140625" style="11"/>
    <col min="769" max="769" width="62.28515625" style="11" customWidth="1"/>
    <col min="770" max="770" width="15.28515625" style="11" customWidth="1"/>
    <col min="771" max="771" width="15.85546875" style="11" customWidth="1"/>
    <col min="772" max="772" width="22.5703125" style="11" customWidth="1"/>
    <col min="773" max="773" width="15.5703125" style="11" customWidth="1"/>
    <col min="774" max="776" width="9.140625" style="11"/>
    <col min="777" max="777" width="27" style="11" customWidth="1"/>
    <col min="778" max="778" width="46.140625" style="11" customWidth="1"/>
    <col min="779" max="779" width="45" style="11" customWidth="1"/>
    <col min="780" max="780" width="11.28515625" style="11" customWidth="1"/>
    <col min="781" max="781" width="12.42578125" style="11" customWidth="1"/>
    <col min="782" max="1024" width="9.140625" style="11"/>
    <col min="1025" max="1025" width="62.28515625" style="11" customWidth="1"/>
    <col min="1026" max="1026" width="15.28515625" style="11" customWidth="1"/>
    <col min="1027" max="1027" width="15.85546875" style="11" customWidth="1"/>
    <col min="1028" max="1028" width="22.5703125" style="11" customWidth="1"/>
    <col min="1029" max="1029" width="15.5703125" style="11" customWidth="1"/>
    <col min="1030" max="1032" width="9.140625" style="11"/>
    <col min="1033" max="1033" width="27" style="11" customWidth="1"/>
    <col min="1034" max="1034" width="46.140625" style="11" customWidth="1"/>
    <col min="1035" max="1035" width="45" style="11" customWidth="1"/>
    <col min="1036" max="1036" width="11.28515625" style="11" customWidth="1"/>
    <col min="1037" max="1037" width="12.42578125" style="11" customWidth="1"/>
    <col min="1038" max="1280" width="9.140625" style="11"/>
    <col min="1281" max="1281" width="62.28515625" style="11" customWidth="1"/>
    <col min="1282" max="1282" width="15.28515625" style="11" customWidth="1"/>
    <col min="1283" max="1283" width="15.85546875" style="11" customWidth="1"/>
    <col min="1284" max="1284" width="22.5703125" style="11" customWidth="1"/>
    <col min="1285" max="1285" width="15.5703125" style="11" customWidth="1"/>
    <col min="1286" max="1288" width="9.140625" style="11"/>
    <col min="1289" max="1289" width="27" style="11" customWidth="1"/>
    <col min="1290" max="1290" width="46.140625" style="11" customWidth="1"/>
    <col min="1291" max="1291" width="45" style="11" customWidth="1"/>
    <col min="1292" max="1292" width="11.28515625" style="11" customWidth="1"/>
    <col min="1293" max="1293" width="12.42578125" style="11" customWidth="1"/>
    <col min="1294" max="1536" width="9.140625" style="11"/>
    <col min="1537" max="1537" width="62.28515625" style="11" customWidth="1"/>
    <col min="1538" max="1538" width="15.28515625" style="11" customWidth="1"/>
    <col min="1539" max="1539" width="15.85546875" style="11" customWidth="1"/>
    <col min="1540" max="1540" width="22.5703125" style="11" customWidth="1"/>
    <col min="1541" max="1541" width="15.5703125" style="11" customWidth="1"/>
    <col min="1542" max="1544" width="9.140625" style="11"/>
    <col min="1545" max="1545" width="27" style="11" customWidth="1"/>
    <col min="1546" max="1546" width="46.140625" style="11" customWidth="1"/>
    <col min="1547" max="1547" width="45" style="11" customWidth="1"/>
    <col min="1548" max="1548" width="11.28515625" style="11" customWidth="1"/>
    <col min="1549" max="1549" width="12.42578125" style="11" customWidth="1"/>
    <col min="1550" max="1792" width="9.140625" style="11"/>
    <col min="1793" max="1793" width="62.28515625" style="11" customWidth="1"/>
    <col min="1794" max="1794" width="15.28515625" style="11" customWidth="1"/>
    <col min="1795" max="1795" width="15.85546875" style="11" customWidth="1"/>
    <col min="1796" max="1796" width="22.5703125" style="11" customWidth="1"/>
    <col min="1797" max="1797" width="15.5703125" style="11" customWidth="1"/>
    <col min="1798" max="1800" width="9.140625" style="11"/>
    <col min="1801" max="1801" width="27" style="11" customWidth="1"/>
    <col min="1802" max="1802" width="46.140625" style="11" customWidth="1"/>
    <col min="1803" max="1803" width="45" style="11" customWidth="1"/>
    <col min="1804" max="1804" width="11.28515625" style="11" customWidth="1"/>
    <col min="1805" max="1805" width="12.42578125" style="11" customWidth="1"/>
    <col min="1806" max="2048" width="9.140625" style="11"/>
    <col min="2049" max="2049" width="62.28515625" style="11" customWidth="1"/>
    <col min="2050" max="2050" width="15.28515625" style="11" customWidth="1"/>
    <col min="2051" max="2051" width="15.85546875" style="11" customWidth="1"/>
    <col min="2052" max="2052" width="22.5703125" style="11" customWidth="1"/>
    <col min="2053" max="2053" width="15.5703125" style="11" customWidth="1"/>
    <col min="2054" max="2056" width="9.140625" style="11"/>
    <col min="2057" max="2057" width="27" style="11" customWidth="1"/>
    <col min="2058" max="2058" width="46.140625" style="11" customWidth="1"/>
    <col min="2059" max="2059" width="45" style="11" customWidth="1"/>
    <col min="2060" max="2060" width="11.28515625" style="11" customWidth="1"/>
    <col min="2061" max="2061" width="12.42578125" style="11" customWidth="1"/>
    <col min="2062" max="2304" width="9.140625" style="11"/>
    <col min="2305" max="2305" width="62.28515625" style="11" customWidth="1"/>
    <col min="2306" max="2306" width="15.28515625" style="11" customWidth="1"/>
    <col min="2307" max="2307" width="15.85546875" style="11" customWidth="1"/>
    <col min="2308" max="2308" width="22.5703125" style="11" customWidth="1"/>
    <col min="2309" max="2309" width="15.5703125" style="11" customWidth="1"/>
    <col min="2310" max="2312" width="9.140625" style="11"/>
    <col min="2313" max="2313" width="27" style="11" customWidth="1"/>
    <col min="2314" max="2314" width="46.140625" style="11" customWidth="1"/>
    <col min="2315" max="2315" width="45" style="11" customWidth="1"/>
    <col min="2316" max="2316" width="11.28515625" style="11" customWidth="1"/>
    <col min="2317" max="2317" width="12.42578125" style="11" customWidth="1"/>
    <col min="2318" max="2560" width="9.140625" style="11"/>
    <col min="2561" max="2561" width="62.28515625" style="11" customWidth="1"/>
    <col min="2562" max="2562" width="15.28515625" style="11" customWidth="1"/>
    <col min="2563" max="2563" width="15.85546875" style="11" customWidth="1"/>
    <col min="2564" max="2564" width="22.5703125" style="11" customWidth="1"/>
    <col min="2565" max="2565" width="15.5703125" style="11" customWidth="1"/>
    <col min="2566" max="2568" width="9.140625" style="11"/>
    <col min="2569" max="2569" width="27" style="11" customWidth="1"/>
    <col min="2570" max="2570" width="46.140625" style="11" customWidth="1"/>
    <col min="2571" max="2571" width="45" style="11" customWidth="1"/>
    <col min="2572" max="2572" width="11.28515625" style="11" customWidth="1"/>
    <col min="2573" max="2573" width="12.42578125" style="11" customWidth="1"/>
    <col min="2574" max="2816" width="9.140625" style="11"/>
    <col min="2817" max="2817" width="62.28515625" style="11" customWidth="1"/>
    <col min="2818" max="2818" width="15.28515625" style="11" customWidth="1"/>
    <col min="2819" max="2819" width="15.85546875" style="11" customWidth="1"/>
    <col min="2820" max="2820" width="22.5703125" style="11" customWidth="1"/>
    <col min="2821" max="2821" width="15.5703125" style="11" customWidth="1"/>
    <col min="2822" max="2824" width="9.140625" style="11"/>
    <col min="2825" max="2825" width="27" style="11" customWidth="1"/>
    <col min="2826" max="2826" width="46.140625" style="11" customWidth="1"/>
    <col min="2827" max="2827" width="45" style="11" customWidth="1"/>
    <col min="2828" max="2828" width="11.28515625" style="11" customWidth="1"/>
    <col min="2829" max="2829" width="12.42578125" style="11" customWidth="1"/>
    <col min="2830" max="3072" width="9.140625" style="11"/>
    <col min="3073" max="3073" width="62.28515625" style="11" customWidth="1"/>
    <col min="3074" max="3074" width="15.28515625" style="11" customWidth="1"/>
    <col min="3075" max="3075" width="15.85546875" style="11" customWidth="1"/>
    <col min="3076" max="3076" width="22.5703125" style="11" customWidth="1"/>
    <col min="3077" max="3077" width="15.5703125" style="11" customWidth="1"/>
    <col min="3078" max="3080" width="9.140625" style="11"/>
    <col min="3081" max="3081" width="27" style="11" customWidth="1"/>
    <col min="3082" max="3082" width="46.140625" style="11" customWidth="1"/>
    <col min="3083" max="3083" width="45" style="11" customWidth="1"/>
    <col min="3084" max="3084" width="11.28515625" style="11" customWidth="1"/>
    <col min="3085" max="3085" width="12.42578125" style="11" customWidth="1"/>
    <col min="3086" max="3328" width="9.140625" style="11"/>
    <col min="3329" max="3329" width="62.28515625" style="11" customWidth="1"/>
    <col min="3330" max="3330" width="15.28515625" style="11" customWidth="1"/>
    <col min="3331" max="3331" width="15.85546875" style="11" customWidth="1"/>
    <col min="3332" max="3332" width="22.5703125" style="11" customWidth="1"/>
    <col min="3333" max="3333" width="15.5703125" style="11" customWidth="1"/>
    <col min="3334" max="3336" width="9.140625" style="11"/>
    <col min="3337" max="3337" width="27" style="11" customWidth="1"/>
    <col min="3338" max="3338" width="46.140625" style="11" customWidth="1"/>
    <col min="3339" max="3339" width="45" style="11" customWidth="1"/>
    <col min="3340" max="3340" width="11.28515625" style="11" customWidth="1"/>
    <col min="3341" max="3341" width="12.42578125" style="11" customWidth="1"/>
    <col min="3342" max="3584" width="9.140625" style="11"/>
    <col min="3585" max="3585" width="62.28515625" style="11" customWidth="1"/>
    <col min="3586" max="3586" width="15.28515625" style="11" customWidth="1"/>
    <col min="3587" max="3587" width="15.85546875" style="11" customWidth="1"/>
    <col min="3588" max="3588" width="22.5703125" style="11" customWidth="1"/>
    <col min="3589" max="3589" width="15.5703125" style="11" customWidth="1"/>
    <col min="3590" max="3592" width="9.140625" style="11"/>
    <col min="3593" max="3593" width="27" style="11" customWidth="1"/>
    <col min="3594" max="3594" width="46.140625" style="11" customWidth="1"/>
    <col min="3595" max="3595" width="45" style="11" customWidth="1"/>
    <col min="3596" max="3596" width="11.28515625" style="11" customWidth="1"/>
    <col min="3597" max="3597" width="12.42578125" style="11" customWidth="1"/>
    <col min="3598" max="3840" width="9.140625" style="11"/>
    <col min="3841" max="3841" width="62.28515625" style="11" customWidth="1"/>
    <col min="3842" max="3842" width="15.28515625" style="11" customWidth="1"/>
    <col min="3843" max="3843" width="15.85546875" style="11" customWidth="1"/>
    <col min="3844" max="3844" width="22.5703125" style="11" customWidth="1"/>
    <col min="3845" max="3845" width="15.5703125" style="11" customWidth="1"/>
    <col min="3846" max="3848" width="9.140625" style="11"/>
    <col min="3849" max="3849" width="27" style="11" customWidth="1"/>
    <col min="3850" max="3850" width="46.140625" style="11" customWidth="1"/>
    <col min="3851" max="3851" width="45" style="11" customWidth="1"/>
    <col min="3852" max="3852" width="11.28515625" style="11" customWidth="1"/>
    <col min="3853" max="3853" width="12.42578125" style="11" customWidth="1"/>
    <col min="3854" max="4096" width="9.140625" style="11"/>
    <col min="4097" max="4097" width="62.28515625" style="11" customWidth="1"/>
    <col min="4098" max="4098" width="15.28515625" style="11" customWidth="1"/>
    <col min="4099" max="4099" width="15.85546875" style="11" customWidth="1"/>
    <col min="4100" max="4100" width="22.5703125" style="11" customWidth="1"/>
    <col min="4101" max="4101" width="15.5703125" style="11" customWidth="1"/>
    <col min="4102" max="4104" width="9.140625" style="11"/>
    <col min="4105" max="4105" width="27" style="11" customWidth="1"/>
    <col min="4106" max="4106" width="46.140625" style="11" customWidth="1"/>
    <col min="4107" max="4107" width="45" style="11" customWidth="1"/>
    <col min="4108" max="4108" width="11.28515625" style="11" customWidth="1"/>
    <col min="4109" max="4109" width="12.42578125" style="11" customWidth="1"/>
    <col min="4110" max="4352" width="9.140625" style="11"/>
    <col min="4353" max="4353" width="62.28515625" style="11" customWidth="1"/>
    <col min="4354" max="4354" width="15.28515625" style="11" customWidth="1"/>
    <col min="4355" max="4355" width="15.85546875" style="11" customWidth="1"/>
    <col min="4356" max="4356" width="22.5703125" style="11" customWidth="1"/>
    <col min="4357" max="4357" width="15.5703125" style="11" customWidth="1"/>
    <col min="4358" max="4360" width="9.140625" style="11"/>
    <col min="4361" max="4361" width="27" style="11" customWidth="1"/>
    <col min="4362" max="4362" width="46.140625" style="11" customWidth="1"/>
    <col min="4363" max="4363" width="45" style="11" customWidth="1"/>
    <col min="4364" max="4364" width="11.28515625" style="11" customWidth="1"/>
    <col min="4365" max="4365" width="12.42578125" style="11" customWidth="1"/>
    <col min="4366" max="4608" width="9.140625" style="11"/>
    <col min="4609" max="4609" width="62.28515625" style="11" customWidth="1"/>
    <col min="4610" max="4610" width="15.28515625" style="11" customWidth="1"/>
    <col min="4611" max="4611" width="15.85546875" style="11" customWidth="1"/>
    <col min="4612" max="4612" width="22.5703125" style="11" customWidth="1"/>
    <col min="4613" max="4613" width="15.5703125" style="11" customWidth="1"/>
    <col min="4614" max="4616" width="9.140625" style="11"/>
    <col min="4617" max="4617" width="27" style="11" customWidth="1"/>
    <col min="4618" max="4618" width="46.140625" style="11" customWidth="1"/>
    <col min="4619" max="4619" width="45" style="11" customWidth="1"/>
    <col min="4620" max="4620" width="11.28515625" style="11" customWidth="1"/>
    <col min="4621" max="4621" width="12.42578125" style="11" customWidth="1"/>
    <col min="4622" max="4864" width="9.140625" style="11"/>
    <col min="4865" max="4865" width="62.28515625" style="11" customWidth="1"/>
    <col min="4866" max="4866" width="15.28515625" style="11" customWidth="1"/>
    <col min="4867" max="4867" width="15.85546875" style="11" customWidth="1"/>
    <col min="4868" max="4868" width="22.5703125" style="11" customWidth="1"/>
    <col min="4869" max="4869" width="15.5703125" style="11" customWidth="1"/>
    <col min="4870" max="4872" width="9.140625" style="11"/>
    <col min="4873" max="4873" width="27" style="11" customWidth="1"/>
    <col min="4874" max="4874" width="46.140625" style="11" customWidth="1"/>
    <col min="4875" max="4875" width="45" style="11" customWidth="1"/>
    <col min="4876" max="4876" width="11.28515625" style="11" customWidth="1"/>
    <col min="4877" max="4877" width="12.42578125" style="11" customWidth="1"/>
    <col min="4878" max="5120" width="9.140625" style="11"/>
    <col min="5121" max="5121" width="62.28515625" style="11" customWidth="1"/>
    <col min="5122" max="5122" width="15.28515625" style="11" customWidth="1"/>
    <col min="5123" max="5123" width="15.85546875" style="11" customWidth="1"/>
    <col min="5124" max="5124" width="22.5703125" style="11" customWidth="1"/>
    <col min="5125" max="5125" width="15.5703125" style="11" customWidth="1"/>
    <col min="5126" max="5128" width="9.140625" style="11"/>
    <col min="5129" max="5129" width="27" style="11" customWidth="1"/>
    <col min="5130" max="5130" width="46.140625" style="11" customWidth="1"/>
    <col min="5131" max="5131" width="45" style="11" customWidth="1"/>
    <col min="5132" max="5132" width="11.28515625" style="11" customWidth="1"/>
    <col min="5133" max="5133" width="12.42578125" style="11" customWidth="1"/>
    <col min="5134" max="5376" width="9.140625" style="11"/>
    <col min="5377" max="5377" width="62.28515625" style="11" customWidth="1"/>
    <col min="5378" max="5378" width="15.28515625" style="11" customWidth="1"/>
    <col min="5379" max="5379" width="15.85546875" style="11" customWidth="1"/>
    <col min="5380" max="5380" width="22.5703125" style="11" customWidth="1"/>
    <col min="5381" max="5381" width="15.5703125" style="11" customWidth="1"/>
    <col min="5382" max="5384" width="9.140625" style="11"/>
    <col min="5385" max="5385" width="27" style="11" customWidth="1"/>
    <col min="5386" max="5386" width="46.140625" style="11" customWidth="1"/>
    <col min="5387" max="5387" width="45" style="11" customWidth="1"/>
    <col min="5388" max="5388" width="11.28515625" style="11" customWidth="1"/>
    <col min="5389" max="5389" width="12.42578125" style="11" customWidth="1"/>
    <col min="5390" max="5632" width="9.140625" style="11"/>
    <col min="5633" max="5633" width="62.28515625" style="11" customWidth="1"/>
    <col min="5634" max="5634" width="15.28515625" style="11" customWidth="1"/>
    <col min="5635" max="5635" width="15.85546875" style="11" customWidth="1"/>
    <col min="5636" max="5636" width="22.5703125" style="11" customWidth="1"/>
    <col min="5637" max="5637" width="15.5703125" style="11" customWidth="1"/>
    <col min="5638" max="5640" width="9.140625" style="11"/>
    <col min="5641" max="5641" width="27" style="11" customWidth="1"/>
    <col min="5642" max="5642" width="46.140625" style="11" customWidth="1"/>
    <col min="5643" max="5643" width="45" style="11" customWidth="1"/>
    <col min="5644" max="5644" width="11.28515625" style="11" customWidth="1"/>
    <col min="5645" max="5645" width="12.42578125" style="11" customWidth="1"/>
    <col min="5646" max="5888" width="9.140625" style="11"/>
    <col min="5889" max="5889" width="62.28515625" style="11" customWidth="1"/>
    <col min="5890" max="5890" width="15.28515625" style="11" customWidth="1"/>
    <col min="5891" max="5891" width="15.85546875" style="11" customWidth="1"/>
    <col min="5892" max="5892" width="22.5703125" style="11" customWidth="1"/>
    <col min="5893" max="5893" width="15.5703125" style="11" customWidth="1"/>
    <col min="5894" max="5896" width="9.140625" style="11"/>
    <col min="5897" max="5897" width="27" style="11" customWidth="1"/>
    <col min="5898" max="5898" width="46.140625" style="11" customWidth="1"/>
    <col min="5899" max="5899" width="45" style="11" customWidth="1"/>
    <col min="5900" max="5900" width="11.28515625" style="11" customWidth="1"/>
    <col min="5901" max="5901" width="12.42578125" style="11" customWidth="1"/>
    <col min="5902" max="6144" width="9.140625" style="11"/>
    <col min="6145" max="6145" width="62.28515625" style="11" customWidth="1"/>
    <col min="6146" max="6146" width="15.28515625" style="11" customWidth="1"/>
    <col min="6147" max="6147" width="15.85546875" style="11" customWidth="1"/>
    <col min="6148" max="6148" width="22.5703125" style="11" customWidth="1"/>
    <col min="6149" max="6149" width="15.5703125" style="11" customWidth="1"/>
    <col min="6150" max="6152" width="9.140625" style="11"/>
    <col min="6153" max="6153" width="27" style="11" customWidth="1"/>
    <col min="6154" max="6154" width="46.140625" style="11" customWidth="1"/>
    <col min="6155" max="6155" width="45" style="11" customWidth="1"/>
    <col min="6156" max="6156" width="11.28515625" style="11" customWidth="1"/>
    <col min="6157" max="6157" width="12.42578125" style="11" customWidth="1"/>
    <col min="6158" max="6400" width="9.140625" style="11"/>
    <col min="6401" max="6401" width="62.28515625" style="11" customWidth="1"/>
    <col min="6402" max="6402" width="15.28515625" style="11" customWidth="1"/>
    <col min="6403" max="6403" width="15.85546875" style="11" customWidth="1"/>
    <col min="6404" max="6404" width="22.5703125" style="11" customWidth="1"/>
    <col min="6405" max="6405" width="15.5703125" style="11" customWidth="1"/>
    <col min="6406" max="6408" width="9.140625" style="11"/>
    <col min="6409" max="6409" width="27" style="11" customWidth="1"/>
    <col min="6410" max="6410" width="46.140625" style="11" customWidth="1"/>
    <col min="6411" max="6411" width="45" style="11" customWidth="1"/>
    <col min="6412" max="6412" width="11.28515625" style="11" customWidth="1"/>
    <col min="6413" max="6413" width="12.42578125" style="11" customWidth="1"/>
    <col min="6414" max="6656" width="9.140625" style="11"/>
    <col min="6657" max="6657" width="62.28515625" style="11" customWidth="1"/>
    <col min="6658" max="6658" width="15.28515625" style="11" customWidth="1"/>
    <col min="6659" max="6659" width="15.85546875" style="11" customWidth="1"/>
    <col min="6660" max="6660" width="22.5703125" style="11" customWidth="1"/>
    <col min="6661" max="6661" width="15.5703125" style="11" customWidth="1"/>
    <col min="6662" max="6664" width="9.140625" style="11"/>
    <col min="6665" max="6665" width="27" style="11" customWidth="1"/>
    <col min="6666" max="6666" width="46.140625" style="11" customWidth="1"/>
    <col min="6667" max="6667" width="45" style="11" customWidth="1"/>
    <col min="6668" max="6668" width="11.28515625" style="11" customWidth="1"/>
    <col min="6669" max="6669" width="12.42578125" style="11" customWidth="1"/>
    <col min="6670" max="6912" width="9.140625" style="11"/>
    <col min="6913" max="6913" width="62.28515625" style="11" customWidth="1"/>
    <col min="6914" max="6914" width="15.28515625" style="11" customWidth="1"/>
    <col min="6915" max="6915" width="15.85546875" style="11" customWidth="1"/>
    <col min="6916" max="6916" width="22.5703125" style="11" customWidth="1"/>
    <col min="6917" max="6917" width="15.5703125" style="11" customWidth="1"/>
    <col min="6918" max="6920" width="9.140625" style="11"/>
    <col min="6921" max="6921" width="27" style="11" customWidth="1"/>
    <col min="6922" max="6922" width="46.140625" style="11" customWidth="1"/>
    <col min="6923" max="6923" width="45" style="11" customWidth="1"/>
    <col min="6924" max="6924" width="11.28515625" style="11" customWidth="1"/>
    <col min="6925" max="6925" width="12.42578125" style="11" customWidth="1"/>
    <col min="6926" max="7168" width="9.140625" style="11"/>
    <col min="7169" max="7169" width="62.28515625" style="11" customWidth="1"/>
    <col min="7170" max="7170" width="15.28515625" style="11" customWidth="1"/>
    <col min="7171" max="7171" width="15.85546875" style="11" customWidth="1"/>
    <col min="7172" max="7172" width="22.5703125" style="11" customWidth="1"/>
    <col min="7173" max="7173" width="15.5703125" style="11" customWidth="1"/>
    <col min="7174" max="7176" width="9.140625" style="11"/>
    <col min="7177" max="7177" width="27" style="11" customWidth="1"/>
    <col min="7178" max="7178" width="46.140625" style="11" customWidth="1"/>
    <col min="7179" max="7179" width="45" style="11" customWidth="1"/>
    <col min="7180" max="7180" width="11.28515625" style="11" customWidth="1"/>
    <col min="7181" max="7181" width="12.42578125" style="11" customWidth="1"/>
    <col min="7182" max="7424" width="9.140625" style="11"/>
    <col min="7425" max="7425" width="62.28515625" style="11" customWidth="1"/>
    <col min="7426" max="7426" width="15.28515625" style="11" customWidth="1"/>
    <col min="7427" max="7427" width="15.85546875" style="11" customWidth="1"/>
    <col min="7428" max="7428" width="22.5703125" style="11" customWidth="1"/>
    <col min="7429" max="7429" width="15.5703125" style="11" customWidth="1"/>
    <col min="7430" max="7432" width="9.140625" style="11"/>
    <col min="7433" max="7433" width="27" style="11" customWidth="1"/>
    <col min="7434" max="7434" width="46.140625" style="11" customWidth="1"/>
    <col min="7435" max="7435" width="45" style="11" customWidth="1"/>
    <col min="7436" max="7436" width="11.28515625" style="11" customWidth="1"/>
    <col min="7437" max="7437" width="12.42578125" style="11" customWidth="1"/>
    <col min="7438" max="7680" width="9.140625" style="11"/>
    <col min="7681" max="7681" width="62.28515625" style="11" customWidth="1"/>
    <col min="7682" max="7682" width="15.28515625" style="11" customWidth="1"/>
    <col min="7683" max="7683" width="15.85546875" style="11" customWidth="1"/>
    <col min="7684" max="7684" width="22.5703125" style="11" customWidth="1"/>
    <col min="7685" max="7685" width="15.5703125" style="11" customWidth="1"/>
    <col min="7686" max="7688" width="9.140625" style="11"/>
    <col min="7689" max="7689" width="27" style="11" customWidth="1"/>
    <col min="7690" max="7690" width="46.140625" style="11" customWidth="1"/>
    <col min="7691" max="7691" width="45" style="11" customWidth="1"/>
    <col min="7692" max="7692" width="11.28515625" style="11" customWidth="1"/>
    <col min="7693" max="7693" width="12.42578125" style="11" customWidth="1"/>
    <col min="7694" max="7936" width="9.140625" style="11"/>
    <col min="7937" max="7937" width="62.28515625" style="11" customWidth="1"/>
    <col min="7938" max="7938" width="15.28515625" style="11" customWidth="1"/>
    <col min="7939" max="7939" width="15.85546875" style="11" customWidth="1"/>
    <col min="7940" max="7940" width="22.5703125" style="11" customWidth="1"/>
    <col min="7941" max="7941" width="15.5703125" style="11" customWidth="1"/>
    <col min="7942" max="7944" width="9.140625" style="11"/>
    <col min="7945" max="7945" width="27" style="11" customWidth="1"/>
    <col min="7946" max="7946" width="46.140625" style="11" customWidth="1"/>
    <col min="7947" max="7947" width="45" style="11" customWidth="1"/>
    <col min="7948" max="7948" width="11.28515625" style="11" customWidth="1"/>
    <col min="7949" max="7949" width="12.42578125" style="11" customWidth="1"/>
    <col min="7950" max="8192" width="9.140625" style="11"/>
    <col min="8193" max="8193" width="62.28515625" style="11" customWidth="1"/>
    <col min="8194" max="8194" width="15.28515625" style="11" customWidth="1"/>
    <col min="8195" max="8195" width="15.85546875" style="11" customWidth="1"/>
    <col min="8196" max="8196" width="22.5703125" style="11" customWidth="1"/>
    <col min="8197" max="8197" width="15.5703125" style="11" customWidth="1"/>
    <col min="8198" max="8200" width="9.140625" style="11"/>
    <col min="8201" max="8201" width="27" style="11" customWidth="1"/>
    <col min="8202" max="8202" width="46.140625" style="11" customWidth="1"/>
    <col min="8203" max="8203" width="45" style="11" customWidth="1"/>
    <col min="8204" max="8204" width="11.28515625" style="11" customWidth="1"/>
    <col min="8205" max="8205" width="12.42578125" style="11" customWidth="1"/>
    <col min="8206" max="8448" width="9.140625" style="11"/>
    <col min="8449" max="8449" width="62.28515625" style="11" customWidth="1"/>
    <col min="8450" max="8450" width="15.28515625" style="11" customWidth="1"/>
    <col min="8451" max="8451" width="15.85546875" style="11" customWidth="1"/>
    <col min="8452" max="8452" width="22.5703125" style="11" customWidth="1"/>
    <col min="8453" max="8453" width="15.5703125" style="11" customWidth="1"/>
    <col min="8454" max="8456" width="9.140625" style="11"/>
    <col min="8457" max="8457" width="27" style="11" customWidth="1"/>
    <col min="8458" max="8458" width="46.140625" style="11" customWidth="1"/>
    <col min="8459" max="8459" width="45" style="11" customWidth="1"/>
    <col min="8460" max="8460" width="11.28515625" style="11" customWidth="1"/>
    <col min="8461" max="8461" width="12.42578125" style="11" customWidth="1"/>
    <col min="8462" max="8704" width="9.140625" style="11"/>
    <col min="8705" max="8705" width="62.28515625" style="11" customWidth="1"/>
    <col min="8706" max="8706" width="15.28515625" style="11" customWidth="1"/>
    <col min="8707" max="8707" width="15.85546875" style="11" customWidth="1"/>
    <col min="8708" max="8708" width="22.5703125" style="11" customWidth="1"/>
    <col min="8709" max="8709" width="15.5703125" style="11" customWidth="1"/>
    <col min="8710" max="8712" width="9.140625" style="11"/>
    <col min="8713" max="8713" width="27" style="11" customWidth="1"/>
    <col min="8714" max="8714" width="46.140625" style="11" customWidth="1"/>
    <col min="8715" max="8715" width="45" style="11" customWidth="1"/>
    <col min="8716" max="8716" width="11.28515625" style="11" customWidth="1"/>
    <col min="8717" max="8717" width="12.42578125" style="11" customWidth="1"/>
    <col min="8718" max="8960" width="9.140625" style="11"/>
    <col min="8961" max="8961" width="62.28515625" style="11" customWidth="1"/>
    <col min="8962" max="8962" width="15.28515625" style="11" customWidth="1"/>
    <col min="8963" max="8963" width="15.85546875" style="11" customWidth="1"/>
    <col min="8964" max="8964" width="22.5703125" style="11" customWidth="1"/>
    <col min="8965" max="8965" width="15.5703125" style="11" customWidth="1"/>
    <col min="8966" max="8968" width="9.140625" style="11"/>
    <col min="8969" max="8969" width="27" style="11" customWidth="1"/>
    <col min="8970" max="8970" width="46.140625" style="11" customWidth="1"/>
    <col min="8971" max="8971" width="45" style="11" customWidth="1"/>
    <col min="8972" max="8972" width="11.28515625" style="11" customWidth="1"/>
    <col min="8973" max="8973" width="12.42578125" style="11" customWidth="1"/>
    <col min="8974" max="9216" width="9.140625" style="11"/>
    <col min="9217" max="9217" width="62.28515625" style="11" customWidth="1"/>
    <col min="9218" max="9218" width="15.28515625" style="11" customWidth="1"/>
    <col min="9219" max="9219" width="15.85546875" style="11" customWidth="1"/>
    <col min="9220" max="9220" width="22.5703125" style="11" customWidth="1"/>
    <col min="9221" max="9221" width="15.5703125" style="11" customWidth="1"/>
    <col min="9222" max="9224" width="9.140625" style="11"/>
    <col min="9225" max="9225" width="27" style="11" customWidth="1"/>
    <col min="9226" max="9226" width="46.140625" style="11" customWidth="1"/>
    <col min="9227" max="9227" width="45" style="11" customWidth="1"/>
    <col min="9228" max="9228" width="11.28515625" style="11" customWidth="1"/>
    <col min="9229" max="9229" width="12.42578125" style="11" customWidth="1"/>
    <col min="9230" max="9472" width="9.140625" style="11"/>
    <col min="9473" max="9473" width="62.28515625" style="11" customWidth="1"/>
    <col min="9474" max="9474" width="15.28515625" style="11" customWidth="1"/>
    <col min="9475" max="9475" width="15.85546875" style="11" customWidth="1"/>
    <col min="9476" max="9476" width="22.5703125" style="11" customWidth="1"/>
    <col min="9477" max="9477" width="15.5703125" style="11" customWidth="1"/>
    <col min="9478" max="9480" width="9.140625" style="11"/>
    <col min="9481" max="9481" width="27" style="11" customWidth="1"/>
    <col min="9482" max="9482" width="46.140625" style="11" customWidth="1"/>
    <col min="9483" max="9483" width="45" style="11" customWidth="1"/>
    <col min="9484" max="9484" width="11.28515625" style="11" customWidth="1"/>
    <col min="9485" max="9485" width="12.42578125" style="11" customWidth="1"/>
    <col min="9486" max="9728" width="9.140625" style="11"/>
    <col min="9729" max="9729" width="62.28515625" style="11" customWidth="1"/>
    <col min="9730" max="9730" width="15.28515625" style="11" customWidth="1"/>
    <col min="9731" max="9731" width="15.85546875" style="11" customWidth="1"/>
    <col min="9732" max="9732" width="22.5703125" style="11" customWidth="1"/>
    <col min="9733" max="9733" width="15.5703125" style="11" customWidth="1"/>
    <col min="9734" max="9736" width="9.140625" style="11"/>
    <col min="9737" max="9737" width="27" style="11" customWidth="1"/>
    <col min="9738" max="9738" width="46.140625" style="11" customWidth="1"/>
    <col min="9739" max="9739" width="45" style="11" customWidth="1"/>
    <col min="9740" max="9740" width="11.28515625" style="11" customWidth="1"/>
    <col min="9741" max="9741" width="12.42578125" style="11" customWidth="1"/>
    <col min="9742" max="9984" width="9.140625" style="11"/>
    <col min="9985" max="9985" width="62.28515625" style="11" customWidth="1"/>
    <col min="9986" max="9986" width="15.28515625" style="11" customWidth="1"/>
    <col min="9987" max="9987" width="15.85546875" style="11" customWidth="1"/>
    <col min="9988" max="9988" width="22.5703125" style="11" customWidth="1"/>
    <col min="9989" max="9989" width="15.5703125" style="11" customWidth="1"/>
    <col min="9990" max="9992" width="9.140625" style="11"/>
    <col min="9993" max="9993" width="27" style="11" customWidth="1"/>
    <col min="9994" max="9994" width="46.140625" style="11" customWidth="1"/>
    <col min="9995" max="9995" width="45" style="11" customWidth="1"/>
    <col min="9996" max="9996" width="11.28515625" style="11" customWidth="1"/>
    <col min="9997" max="9997" width="12.42578125" style="11" customWidth="1"/>
    <col min="9998" max="10240" width="9.140625" style="11"/>
    <col min="10241" max="10241" width="62.28515625" style="11" customWidth="1"/>
    <col min="10242" max="10242" width="15.28515625" style="11" customWidth="1"/>
    <col min="10243" max="10243" width="15.85546875" style="11" customWidth="1"/>
    <col min="10244" max="10244" width="22.5703125" style="11" customWidth="1"/>
    <col min="10245" max="10245" width="15.5703125" style="11" customWidth="1"/>
    <col min="10246" max="10248" width="9.140625" style="11"/>
    <col min="10249" max="10249" width="27" style="11" customWidth="1"/>
    <col min="10250" max="10250" width="46.140625" style="11" customWidth="1"/>
    <col min="10251" max="10251" width="45" style="11" customWidth="1"/>
    <col min="10252" max="10252" width="11.28515625" style="11" customWidth="1"/>
    <col min="10253" max="10253" width="12.42578125" style="11" customWidth="1"/>
    <col min="10254" max="10496" width="9.140625" style="11"/>
    <col min="10497" max="10497" width="62.28515625" style="11" customWidth="1"/>
    <col min="10498" max="10498" width="15.28515625" style="11" customWidth="1"/>
    <col min="10499" max="10499" width="15.85546875" style="11" customWidth="1"/>
    <col min="10500" max="10500" width="22.5703125" style="11" customWidth="1"/>
    <col min="10501" max="10501" width="15.5703125" style="11" customWidth="1"/>
    <col min="10502" max="10504" width="9.140625" style="11"/>
    <col min="10505" max="10505" width="27" style="11" customWidth="1"/>
    <col min="10506" max="10506" width="46.140625" style="11" customWidth="1"/>
    <col min="10507" max="10507" width="45" style="11" customWidth="1"/>
    <col min="10508" max="10508" width="11.28515625" style="11" customWidth="1"/>
    <col min="10509" max="10509" width="12.42578125" style="11" customWidth="1"/>
    <col min="10510" max="10752" width="9.140625" style="11"/>
    <col min="10753" max="10753" width="62.28515625" style="11" customWidth="1"/>
    <col min="10754" max="10754" width="15.28515625" style="11" customWidth="1"/>
    <col min="10755" max="10755" width="15.85546875" style="11" customWidth="1"/>
    <col min="10756" max="10756" width="22.5703125" style="11" customWidth="1"/>
    <col min="10757" max="10757" width="15.5703125" style="11" customWidth="1"/>
    <col min="10758" max="10760" width="9.140625" style="11"/>
    <col min="10761" max="10761" width="27" style="11" customWidth="1"/>
    <col min="10762" max="10762" width="46.140625" style="11" customWidth="1"/>
    <col min="10763" max="10763" width="45" style="11" customWidth="1"/>
    <col min="10764" max="10764" width="11.28515625" style="11" customWidth="1"/>
    <col min="10765" max="10765" width="12.42578125" style="11" customWidth="1"/>
    <col min="10766" max="11008" width="9.140625" style="11"/>
    <col min="11009" max="11009" width="62.28515625" style="11" customWidth="1"/>
    <col min="11010" max="11010" width="15.28515625" style="11" customWidth="1"/>
    <col min="11011" max="11011" width="15.85546875" style="11" customWidth="1"/>
    <col min="11012" max="11012" width="22.5703125" style="11" customWidth="1"/>
    <col min="11013" max="11013" width="15.5703125" style="11" customWidth="1"/>
    <col min="11014" max="11016" width="9.140625" style="11"/>
    <col min="11017" max="11017" width="27" style="11" customWidth="1"/>
    <col min="11018" max="11018" width="46.140625" style="11" customWidth="1"/>
    <col min="11019" max="11019" width="45" style="11" customWidth="1"/>
    <col min="11020" max="11020" width="11.28515625" style="11" customWidth="1"/>
    <col min="11021" max="11021" width="12.42578125" style="11" customWidth="1"/>
    <col min="11022" max="11264" width="9.140625" style="11"/>
    <col min="11265" max="11265" width="62.28515625" style="11" customWidth="1"/>
    <col min="11266" max="11266" width="15.28515625" style="11" customWidth="1"/>
    <col min="11267" max="11267" width="15.85546875" style="11" customWidth="1"/>
    <col min="11268" max="11268" width="22.5703125" style="11" customWidth="1"/>
    <col min="11269" max="11269" width="15.5703125" style="11" customWidth="1"/>
    <col min="11270" max="11272" width="9.140625" style="11"/>
    <col min="11273" max="11273" width="27" style="11" customWidth="1"/>
    <col min="11274" max="11274" width="46.140625" style="11" customWidth="1"/>
    <col min="11275" max="11275" width="45" style="11" customWidth="1"/>
    <col min="11276" max="11276" width="11.28515625" style="11" customWidth="1"/>
    <col min="11277" max="11277" width="12.42578125" style="11" customWidth="1"/>
    <col min="11278" max="11520" width="9.140625" style="11"/>
    <col min="11521" max="11521" width="62.28515625" style="11" customWidth="1"/>
    <col min="11522" max="11522" width="15.28515625" style="11" customWidth="1"/>
    <col min="11523" max="11523" width="15.85546875" style="11" customWidth="1"/>
    <col min="11524" max="11524" width="22.5703125" style="11" customWidth="1"/>
    <col min="11525" max="11525" width="15.5703125" style="11" customWidth="1"/>
    <col min="11526" max="11528" width="9.140625" style="11"/>
    <col min="11529" max="11529" width="27" style="11" customWidth="1"/>
    <col min="11530" max="11530" width="46.140625" style="11" customWidth="1"/>
    <col min="11531" max="11531" width="45" style="11" customWidth="1"/>
    <col min="11532" max="11532" width="11.28515625" style="11" customWidth="1"/>
    <col min="11533" max="11533" width="12.42578125" style="11" customWidth="1"/>
    <col min="11534" max="11776" width="9.140625" style="11"/>
    <col min="11777" max="11777" width="62.28515625" style="11" customWidth="1"/>
    <col min="11778" max="11778" width="15.28515625" style="11" customWidth="1"/>
    <col min="11779" max="11779" width="15.85546875" style="11" customWidth="1"/>
    <col min="11780" max="11780" width="22.5703125" style="11" customWidth="1"/>
    <col min="11781" max="11781" width="15.5703125" style="11" customWidth="1"/>
    <col min="11782" max="11784" width="9.140625" style="11"/>
    <col min="11785" max="11785" width="27" style="11" customWidth="1"/>
    <col min="11786" max="11786" width="46.140625" style="11" customWidth="1"/>
    <col min="11787" max="11787" width="45" style="11" customWidth="1"/>
    <col min="11788" max="11788" width="11.28515625" style="11" customWidth="1"/>
    <col min="11789" max="11789" width="12.42578125" style="11" customWidth="1"/>
    <col min="11790" max="12032" width="9.140625" style="11"/>
    <col min="12033" max="12033" width="62.28515625" style="11" customWidth="1"/>
    <col min="12034" max="12034" width="15.28515625" style="11" customWidth="1"/>
    <col min="12035" max="12035" width="15.85546875" style="11" customWidth="1"/>
    <col min="12036" max="12036" width="22.5703125" style="11" customWidth="1"/>
    <col min="12037" max="12037" width="15.5703125" style="11" customWidth="1"/>
    <col min="12038" max="12040" width="9.140625" style="11"/>
    <col min="12041" max="12041" width="27" style="11" customWidth="1"/>
    <col min="12042" max="12042" width="46.140625" style="11" customWidth="1"/>
    <col min="12043" max="12043" width="45" style="11" customWidth="1"/>
    <col min="12044" max="12044" width="11.28515625" style="11" customWidth="1"/>
    <col min="12045" max="12045" width="12.42578125" style="11" customWidth="1"/>
    <col min="12046" max="12288" width="9.140625" style="11"/>
    <col min="12289" max="12289" width="62.28515625" style="11" customWidth="1"/>
    <col min="12290" max="12290" width="15.28515625" style="11" customWidth="1"/>
    <col min="12291" max="12291" width="15.85546875" style="11" customWidth="1"/>
    <col min="12292" max="12292" width="22.5703125" style="11" customWidth="1"/>
    <col min="12293" max="12293" width="15.5703125" style="11" customWidth="1"/>
    <col min="12294" max="12296" width="9.140625" style="11"/>
    <col min="12297" max="12297" width="27" style="11" customWidth="1"/>
    <col min="12298" max="12298" width="46.140625" style="11" customWidth="1"/>
    <col min="12299" max="12299" width="45" style="11" customWidth="1"/>
    <col min="12300" max="12300" width="11.28515625" style="11" customWidth="1"/>
    <col min="12301" max="12301" width="12.42578125" style="11" customWidth="1"/>
    <col min="12302" max="12544" width="9.140625" style="11"/>
    <col min="12545" max="12545" width="62.28515625" style="11" customWidth="1"/>
    <col min="12546" max="12546" width="15.28515625" style="11" customWidth="1"/>
    <col min="12547" max="12547" width="15.85546875" style="11" customWidth="1"/>
    <col min="12548" max="12548" width="22.5703125" style="11" customWidth="1"/>
    <col min="12549" max="12549" width="15.5703125" style="11" customWidth="1"/>
    <col min="12550" max="12552" width="9.140625" style="11"/>
    <col min="12553" max="12553" width="27" style="11" customWidth="1"/>
    <col min="12554" max="12554" width="46.140625" style="11" customWidth="1"/>
    <col min="12555" max="12555" width="45" style="11" customWidth="1"/>
    <col min="12556" max="12556" width="11.28515625" style="11" customWidth="1"/>
    <col min="12557" max="12557" width="12.42578125" style="11" customWidth="1"/>
    <col min="12558" max="12800" width="9.140625" style="11"/>
    <col min="12801" max="12801" width="62.28515625" style="11" customWidth="1"/>
    <col min="12802" max="12802" width="15.28515625" style="11" customWidth="1"/>
    <col min="12803" max="12803" width="15.85546875" style="11" customWidth="1"/>
    <col min="12804" max="12804" width="22.5703125" style="11" customWidth="1"/>
    <col min="12805" max="12805" width="15.5703125" style="11" customWidth="1"/>
    <col min="12806" max="12808" width="9.140625" style="11"/>
    <col min="12809" max="12809" width="27" style="11" customWidth="1"/>
    <col min="12810" max="12810" width="46.140625" style="11" customWidth="1"/>
    <col min="12811" max="12811" width="45" style="11" customWidth="1"/>
    <col min="12812" max="12812" width="11.28515625" style="11" customWidth="1"/>
    <col min="12813" max="12813" width="12.42578125" style="11" customWidth="1"/>
    <col min="12814" max="13056" width="9.140625" style="11"/>
    <col min="13057" max="13057" width="62.28515625" style="11" customWidth="1"/>
    <col min="13058" max="13058" width="15.28515625" style="11" customWidth="1"/>
    <col min="13059" max="13059" width="15.85546875" style="11" customWidth="1"/>
    <col min="13060" max="13060" width="22.5703125" style="11" customWidth="1"/>
    <col min="13061" max="13061" width="15.5703125" style="11" customWidth="1"/>
    <col min="13062" max="13064" width="9.140625" style="11"/>
    <col min="13065" max="13065" width="27" style="11" customWidth="1"/>
    <col min="13066" max="13066" width="46.140625" style="11" customWidth="1"/>
    <col min="13067" max="13067" width="45" style="11" customWidth="1"/>
    <col min="13068" max="13068" width="11.28515625" style="11" customWidth="1"/>
    <col min="13069" max="13069" width="12.42578125" style="11" customWidth="1"/>
    <col min="13070" max="13312" width="9.140625" style="11"/>
    <col min="13313" max="13313" width="62.28515625" style="11" customWidth="1"/>
    <col min="13314" max="13314" width="15.28515625" style="11" customWidth="1"/>
    <col min="13315" max="13315" width="15.85546875" style="11" customWidth="1"/>
    <col min="13316" max="13316" width="22.5703125" style="11" customWidth="1"/>
    <col min="13317" max="13317" width="15.5703125" style="11" customWidth="1"/>
    <col min="13318" max="13320" width="9.140625" style="11"/>
    <col min="13321" max="13321" width="27" style="11" customWidth="1"/>
    <col min="13322" max="13322" width="46.140625" style="11" customWidth="1"/>
    <col min="13323" max="13323" width="45" style="11" customWidth="1"/>
    <col min="13324" max="13324" width="11.28515625" style="11" customWidth="1"/>
    <col min="13325" max="13325" width="12.42578125" style="11" customWidth="1"/>
    <col min="13326" max="13568" width="9.140625" style="11"/>
    <col min="13569" max="13569" width="62.28515625" style="11" customWidth="1"/>
    <col min="13570" max="13570" width="15.28515625" style="11" customWidth="1"/>
    <col min="13571" max="13571" width="15.85546875" style="11" customWidth="1"/>
    <col min="13572" max="13572" width="22.5703125" style="11" customWidth="1"/>
    <col min="13573" max="13573" width="15.5703125" style="11" customWidth="1"/>
    <col min="13574" max="13576" width="9.140625" style="11"/>
    <col min="13577" max="13577" width="27" style="11" customWidth="1"/>
    <col min="13578" max="13578" width="46.140625" style="11" customWidth="1"/>
    <col min="13579" max="13579" width="45" style="11" customWidth="1"/>
    <col min="13580" max="13580" width="11.28515625" style="11" customWidth="1"/>
    <col min="13581" max="13581" width="12.42578125" style="11" customWidth="1"/>
    <col min="13582" max="13824" width="9.140625" style="11"/>
    <col min="13825" max="13825" width="62.28515625" style="11" customWidth="1"/>
    <col min="13826" max="13826" width="15.28515625" style="11" customWidth="1"/>
    <col min="13827" max="13827" width="15.85546875" style="11" customWidth="1"/>
    <col min="13828" max="13828" width="22.5703125" style="11" customWidth="1"/>
    <col min="13829" max="13829" width="15.5703125" style="11" customWidth="1"/>
    <col min="13830" max="13832" width="9.140625" style="11"/>
    <col min="13833" max="13833" width="27" style="11" customWidth="1"/>
    <col min="13834" max="13834" width="46.140625" style="11" customWidth="1"/>
    <col min="13835" max="13835" width="45" style="11" customWidth="1"/>
    <col min="13836" max="13836" width="11.28515625" style="11" customWidth="1"/>
    <col min="13837" max="13837" width="12.42578125" style="11" customWidth="1"/>
    <col min="13838" max="14080" width="9.140625" style="11"/>
    <col min="14081" max="14081" width="62.28515625" style="11" customWidth="1"/>
    <col min="14082" max="14082" width="15.28515625" style="11" customWidth="1"/>
    <col min="14083" max="14083" width="15.85546875" style="11" customWidth="1"/>
    <col min="14084" max="14084" width="22.5703125" style="11" customWidth="1"/>
    <col min="14085" max="14085" width="15.5703125" style="11" customWidth="1"/>
    <col min="14086" max="14088" width="9.140625" style="11"/>
    <col min="14089" max="14089" width="27" style="11" customWidth="1"/>
    <col min="14090" max="14090" width="46.140625" style="11" customWidth="1"/>
    <col min="14091" max="14091" width="45" style="11" customWidth="1"/>
    <col min="14092" max="14092" width="11.28515625" style="11" customWidth="1"/>
    <col min="14093" max="14093" width="12.42578125" style="11" customWidth="1"/>
    <col min="14094" max="14336" width="9.140625" style="11"/>
    <col min="14337" max="14337" width="62.28515625" style="11" customWidth="1"/>
    <col min="14338" max="14338" width="15.28515625" style="11" customWidth="1"/>
    <col min="14339" max="14339" width="15.85546875" style="11" customWidth="1"/>
    <col min="14340" max="14340" width="22.5703125" style="11" customWidth="1"/>
    <col min="14341" max="14341" width="15.5703125" style="11" customWidth="1"/>
    <col min="14342" max="14344" width="9.140625" style="11"/>
    <col min="14345" max="14345" width="27" style="11" customWidth="1"/>
    <col min="14346" max="14346" width="46.140625" style="11" customWidth="1"/>
    <col min="14347" max="14347" width="45" style="11" customWidth="1"/>
    <col min="14348" max="14348" width="11.28515625" style="11" customWidth="1"/>
    <col min="14349" max="14349" width="12.42578125" style="11" customWidth="1"/>
    <col min="14350" max="14592" width="9.140625" style="11"/>
    <col min="14593" max="14593" width="62.28515625" style="11" customWidth="1"/>
    <col min="14594" max="14594" width="15.28515625" style="11" customWidth="1"/>
    <col min="14595" max="14595" width="15.85546875" style="11" customWidth="1"/>
    <col min="14596" max="14596" width="22.5703125" style="11" customWidth="1"/>
    <col min="14597" max="14597" width="15.5703125" style="11" customWidth="1"/>
    <col min="14598" max="14600" width="9.140625" style="11"/>
    <col min="14601" max="14601" width="27" style="11" customWidth="1"/>
    <col min="14602" max="14602" width="46.140625" style="11" customWidth="1"/>
    <col min="14603" max="14603" width="45" style="11" customWidth="1"/>
    <col min="14604" max="14604" width="11.28515625" style="11" customWidth="1"/>
    <col min="14605" max="14605" width="12.42578125" style="11" customWidth="1"/>
    <col min="14606" max="14848" width="9.140625" style="11"/>
    <col min="14849" max="14849" width="62.28515625" style="11" customWidth="1"/>
    <col min="14850" max="14850" width="15.28515625" style="11" customWidth="1"/>
    <col min="14851" max="14851" width="15.85546875" style="11" customWidth="1"/>
    <col min="14852" max="14852" width="22.5703125" style="11" customWidth="1"/>
    <col min="14853" max="14853" width="15.5703125" style="11" customWidth="1"/>
    <col min="14854" max="14856" width="9.140625" style="11"/>
    <col min="14857" max="14857" width="27" style="11" customWidth="1"/>
    <col min="14858" max="14858" width="46.140625" style="11" customWidth="1"/>
    <col min="14859" max="14859" width="45" style="11" customWidth="1"/>
    <col min="14860" max="14860" width="11.28515625" style="11" customWidth="1"/>
    <col min="14861" max="14861" width="12.42578125" style="11" customWidth="1"/>
    <col min="14862" max="15104" width="9.140625" style="11"/>
    <col min="15105" max="15105" width="62.28515625" style="11" customWidth="1"/>
    <col min="15106" max="15106" width="15.28515625" style="11" customWidth="1"/>
    <col min="15107" max="15107" width="15.85546875" style="11" customWidth="1"/>
    <col min="15108" max="15108" width="22.5703125" style="11" customWidth="1"/>
    <col min="15109" max="15109" width="15.5703125" style="11" customWidth="1"/>
    <col min="15110" max="15112" width="9.140625" style="11"/>
    <col min="15113" max="15113" width="27" style="11" customWidth="1"/>
    <col min="15114" max="15114" width="46.140625" style="11" customWidth="1"/>
    <col min="15115" max="15115" width="45" style="11" customWidth="1"/>
    <col min="15116" max="15116" width="11.28515625" style="11" customWidth="1"/>
    <col min="15117" max="15117" width="12.42578125" style="11" customWidth="1"/>
    <col min="15118" max="15360" width="9.140625" style="11"/>
    <col min="15361" max="15361" width="62.28515625" style="11" customWidth="1"/>
    <col min="15362" max="15362" width="15.28515625" style="11" customWidth="1"/>
    <col min="15363" max="15363" width="15.85546875" style="11" customWidth="1"/>
    <col min="15364" max="15364" width="22.5703125" style="11" customWidth="1"/>
    <col min="15365" max="15365" width="15.5703125" style="11" customWidth="1"/>
    <col min="15366" max="15368" width="9.140625" style="11"/>
    <col min="15369" max="15369" width="27" style="11" customWidth="1"/>
    <col min="15370" max="15370" width="46.140625" style="11" customWidth="1"/>
    <col min="15371" max="15371" width="45" style="11" customWidth="1"/>
    <col min="15372" max="15372" width="11.28515625" style="11" customWidth="1"/>
    <col min="15373" max="15373" width="12.42578125" style="11" customWidth="1"/>
    <col min="15374" max="15616" width="9.140625" style="11"/>
    <col min="15617" max="15617" width="62.28515625" style="11" customWidth="1"/>
    <col min="15618" max="15618" width="15.28515625" style="11" customWidth="1"/>
    <col min="15619" max="15619" width="15.85546875" style="11" customWidth="1"/>
    <col min="15620" max="15620" width="22.5703125" style="11" customWidth="1"/>
    <col min="15621" max="15621" width="15.5703125" style="11" customWidth="1"/>
    <col min="15622" max="15624" width="9.140625" style="11"/>
    <col min="15625" max="15625" width="27" style="11" customWidth="1"/>
    <col min="15626" max="15626" width="46.140625" style="11" customWidth="1"/>
    <col min="15627" max="15627" width="45" style="11" customWidth="1"/>
    <col min="15628" max="15628" width="11.28515625" style="11" customWidth="1"/>
    <col min="15629" max="15629" width="12.42578125" style="11" customWidth="1"/>
    <col min="15630" max="15872" width="9.140625" style="11"/>
    <col min="15873" max="15873" width="62.28515625" style="11" customWidth="1"/>
    <col min="15874" max="15874" width="15.28515625" style="11" customWidth="1"/>
    <col min="15875" max="15875" width="15.85546875" style="11" customWidth="1"/>
    <col min="15876" max="15876" width="22.5703125" style="11" customWidth="1"/>
    <col min="15877" max="15877" width="15.5703125" style="11" customWidth="1"/>
    <col min="15878" max="15880" width="9.140625" style="11"/>
    <col min="15881" max="15881" width="27" style="11" customWidth="1"/>
    <col min="15882" max="15882" width="46.140625" style="11" customWidth="1"/>
    <col min="15883" max="15883" width="45" style="11" customWidth="1"/>
    <col min="15884" max="15884" width="11.28515625" style="11" customWidth="1"/>
    <col min="15885" max="15885" width="12.42578125" style="11" customWidth="1"/>
    <col min="15886" max="16128" width="9.140625" style="11"/>
    <col min="16129" max="16129" width="62.28515625" style="11" customWidth="1"/>
    <col min="16130" max="16130" width="15.28515625" style="11" customWidth="1"/>
    <col min="16131" max="16131" width="15.85546875" style="11" customWidth="1"/>
    <col min="16132" max="16132" width="22.5703125" style="11" customWidth="1"/>
    <col min="16133" max="16133" width="15.5703125" style="11" customWidth="1"/>
    <col min="16134" max="16136" width="9.140625" style="11"/>
    <col min="16137" max="16137" width="27" style="11" customWidth="1"/>
    <col min="16138" max="16138" width="46.140625" style="11" customWidth="1"/>
    <col min="16139" max="16139" width="45" style="11" customWidth="1"/>
    <col min="16140" max="16140" width="11.28515625" style="11" customWidth="1"/>
    <col min="16141" max="16141" width="12.42578125" style="11" customWidth="1"/>
    <col min="16142" max="16384" width="9.140625" style="11"/>
  </cols>
  <sheetData>
    <row r="1" spans="1:13" ht="19.5" thickBot="1">
      <c r="A1" s="277" t="s">
        <v>38</v>
      </c>
      <c r="B1" s="198"/>
      <c r="C1" s="199"/>
      <c r="D1" s="199"/>
      <c r="E1" s="200"/>
      <c r="F1" s="201"/>
      <c r="K1" s="12"/>
      <c r="L1" s="12"/>
      <c r="M1" s="12"/>
    </row>
    <row r="2" spans="1:13" ht="26.25">
      <c r="A2" s="202" t="s">
        <v>107</v>
      </c>
      <c r="B2" s="199"/>
      <c r="C2" s="199"/>
      <c r="D2" s="199"/>
      <c r="E2" s="200"/>
      <c r="F2" s="201" t="s">
        <v>126</v>
      </c>
      <c r="K2" s="12"/>
      <c r="L2" s="12"/>
      <c r="M2" s="12"/>
    </row>
    <row r="3" spans="1:13" ht="21.75" customHeight="1" thickBot="1">
      <c r="A3" s="203"/>
      <c r="B3" s="199"/>
      <c r="C3" s="199"/>
      <c r="D3" s="199"/>
      <c r="E3" s="200"/>
      <c r="F3" s="204" t="s">
        <v>127</v>
      </c>
      <c r="K3" s="12"/>
      <c r="L3" s="12"/>
      <c r="M3" s="12"/>
    </row>
    <row r="4" spans="1:13" ht="19.5" thickBot="1">
      <c r="A4" s="199"/>
      <c r="B4" s="199"/>
      <c r="C4" s="199"/>
      <c r="D4" s="205"/>
      <c r="E4" s="200"/>
      <c r="F4" s="192"/>
      <c r="K4" s="12"/>
      <c r="L4" s="12"/>
      <c r="M4" s="12"/>
    </row>
    <row r="5" spans="1:13" ht="19.5" thickBot="1">
      <c r="A5" s="206" t="s">
        <v>144</v>
      </c>
      <c r="B5" s="279" t="s">
        <v>156</v>
      </c>
      <c r="C5" s="280"/>
      <c r="D5" s="207"/>
      <c r="E5" s="208"/>
      <c r="F5" s="209"/>
      <c r="G5" s="12"/>
      <c r="H5" s="27"/>
      <c r="I5" s="12"/>
      <c r="J5" s="12"/>
      <c r="K5" s="12"/>
      <c r="L5" s="12"/>
      <c r="M5" s="12"/>
    </row>
    <row r="6" spans="1:13" ht="19.5" thickBot="1">
      <c r="A6" s="206" t="s">
        <v>145</v>
      </c>
      <c r="B6" s="281">
        <v>40835</v>
      </c>
      <c r="C6" s="282"/>
      <c r="D6" s="210"/>
      <c r="E6" s="267" t="s">
        <v>124</v>
      </c>
      <c r="F6" s="268" t="s">
        <v>40</v>
      </c>
      <c r="G6" s="12"/>
      <c r="H6" s="27"/>
      <c r="I6" s="12"/>
      <c r="J6" s="12"/>
      <c r="K6" s="12"/>
      <c r="L6" s="12"/>
      <c r="M6" s="12"/>
    </row>
    <row r="7" spans="1:13" ht="15.75" customHeight="1">
      <c r="A7" s="211"/>
      <c r="B7" s="212"/>
      <c r="C7" s="213"/>
      <c r="D7" s="214"/>
      <c r="E7" s="208"/>
      <c r="F7" s="215" t="s">
        <v>146</v>
      </c>
      <c r="G7" s="12"/>
      <c r="H7" s="27"/>
      <c r="I7" s="12"/>
      <c r="J7" s="12"/>
      <c r="K7" s="12"/>
      <c r="L7" s="12"/>
      <c r="M7" s="12"/>
    </row>
    <row r="8" spans="1:13" ht="15.95" customHeight="1">
      <c r="A8" s="216" t="s">
        <v>0</v>
      </c>
      <c r="B8" s="217" t="s">
        <v>1</v>
      </c>
      <c r="C8" s="217" t="s">
        <v>106</v>
      </c>
      <c r="D8" s="218"/>
      <c r="E8" s="219"/>
      <c r="F8" s="220" t="s">
        <v>123</v>
      </c>
      <c r="G8" s="13"/>
      <c r="H8" s="28" t="s">
        <v>36</v>
      </c>
      <c r="I8" s="12"/>
      <c r="J8" s="14"/>
      <c r="K8" s="12"/>
      <c r="L8" s="12"/>
      <c r="M8" s="12"/>
    </row>
    <row r="9" spans="1:13" s="31" customFormat="1" ht="18.75">
      <c r="A9" s="221" t="str">
        <f>calc!A2</f>
        <v>EO Alpha</v>
      </c>
      <c r="B9" s="222">
        <f>IF(calc!B2="","",calc!B2)</f>
        <v>2.9299999999999997</v>
      </c>
      <c r="C9" s="263" t="s">
        <v>38</v>
      </c>
      <c r="D9" s="224" t="s">
        <v>38</v>
      </c>
      <c r="E9" s="225" t="str">
        <f>IF(H9=1,"!","")</f>
        <v/>
      </c>
      <c r="F9" s="271" t="str">
        <f>IF((IF(calc!F2="x",calc!M2,(IF(calc!B2+calc!C2&lt;calc!I2,calc!L2,(IF(calc!B2+calc!C2&gt;calc!J2,calc!N2))))))=0,"",(IF(calc!F2="x",calc!M2,(IF(calc!B2+calc!C2&lt;calc!I2,calc!L2,(IF(calc!B2+calc!C2&gt;calc!J2,calc!N2)))))))</f>
        <v/>
      </c>
      <c r="G9" s="52"/>
      <c r="H9" s="56">
        <f>calc!O2</f>
        <v>0</v>
      </c>
      <c r="I9" s="29"/>
      <c r="J9" s="29"/>
      <c r="K9" s="30"/>
      <c r="L9" s="30"/>
      <c r="M9" s="30"/>
    </row>
    <row r="10" spans="1:13" s="31" customFormat="1" ht="18.75">
      <c r="A10" s="221" t="str">
        <f>calc!A3</f>
        <v>EC Alpha</v>
      </c>
      <c r="B10" s="222">
        <f>IF(calc!B3="","",calc!B3)</f>
        <v>4.1500000000000004</v>
      </c>
      <c r="C10" s="263" t="str">
        <f>IF(calc!C3="","",calc!C3)</f>
        <v/>
      </c>
      <c r="D10" s="224"/>
      <c r="E10" s="225" t="str">
        <f t="shared" ref="E10:E28" si="0">IF(H10=1,"!","")</f>
        <v/>
      </c>
      <c r="F10" s="271" t="str">
        <f>IF((IF(calc!F3="x",calc!M3,(IF(calc!B3+calc!C3&lt;calc!I3,calc!L3,(IF(calc!B3+calc!C3&gt;calc!J3,calc!N3))))))=0,"",(IF(calc!F3="x",calc!M3,(IF(calc!B3+calc!C3&lt;calc!I3,calc!L3,(IF(calc!B3+calc!C3&gt;calc!J3,calc!N3)))))))</f>
        <v/>
      </c>
      <c r="G10" s="52"/>
      <c r="H10" s="56">
        <f>calc!O3</f>
        <v>0</v>
      </c>
      <c r="I10" s="29"/>
      <c r="J10" s="29"/>
      <c r="K10" s="30"/>
      <c r="L10" s="30"/>
      <c r="M10" s="30"/>
    </row>
    <row r="11" spans="1:13" s="31" customFormat="1" ht="37.5">
      <c r="A11" s="221" t="str">
        <f>calc!A4</f>
        <v>Percent change EO to EC Alpha &gt; 30%</v>
      </c>
      <c r="B11" s="264" t="str">
        <f>IF(calc!B4="","",calc!B4)</f>
        <v/>
      </c>
      <c r="C11" s="227">
        <f>IF(calc!C4="","",calc!C4)</f>
        <v>0.41638225255972722</v>
      </c>
      <c r="D11" s="224"/>
      <c r="E11" s="225" t="str">
        <f t="shared" si="0"/>
        <v/>
      </c>
      <c r="F11" s="271" t="str">
        <f>IF((IF(calc!F4="x",calc!M4,(IF(calc!B4+calc!C4&lt;calc!I4,calc!L4,(IF(calc!B4+calc!C4&gt;calc!J4,calc!N4))))))=0,"",(IF(calc!F4="x",calc!M4,(IF(calc!B4+calc!C4&lt;calc!I4,calc!L4,(IF(calc!B4+calc!C4&gt;calc!J4,calc!N4)))))))</f>
        <v>If &lt; 30% or negative, probe for visual processing (memory) problem; poor retention of information and/or poor short term memory; also refer to O1 Alpha EO to EC description.</v>
      </c>
      <c r="G11" s="52"/>
      <c r="H11" s="56">
        <f>calc!O4</f>
        <v>0</v>
      </c>
      <c r="I11" s="29"/>
      <c r="J11" s="29"/>
      <c r="K11" s="30"/>
      <c r="L11" s="30"/>
      <c r="M11" s="30"/>
    </row>
    <row r="12" spans="1:13" s="31" customFormat="1" ht="18.75">
      <c r="A12" s="221" t="str">
        <f>calc!A5</f>
        <v>EO Alpha Recovery</v>
      </c>
      <c r="B12" s="222">
        <f>IF(calc!B5="","",calc!B5)</f>
        <v>2.87</v>
      </c>
      <c r="C12" s="263" t="str">
        <f>IF(calc!C5="","",calc!C5)</f>
        <v/>
      </c>
      <c r="D12" s="224"/>
      <c r="E12" s="225" t="str">
        <f t="shared" si="0"/>
        <v/>
      </c>
      <c r="F12" s="266" t="str">
        <f>IF((IF(calc!F5="x",calc!M5,(IF(calc!B5+calc!C5&lt;calc!I5,calc!L5,(IF(calc!B5+calc!C5&gt;calc!J5,calc!N5))))))=0,"",(IF(calc!F5="x",calc!M5,(IF(calc!B5+calc!C5&lt;calc!I5,calc!L5,(IF(calc!B5+calc!C5&gt;calc!J5,calc!N5)))))))</f>
        <v/>
      </c>
      <c r="G12" s="90"/>
      <c r="H12" s="56">
        <f>calc!O5</f>
        <v>0</v>
      </c>
      <c r="I12" s="29"/>
      <c r="J12" s="29"/>
      <c r="K12" s="30"/>
      <c r="L12" s="30"/>
      <c r="M12" s="30"/>
    </row>
    <row r="13" spans="1:13" s="31" customFormat="1" ht="30">
      <c r="A13" s="221" t="str">
        <f>calc!A6</f>
        <v xml:space="preserve">% difference EO Alpha 
from initial EO after EC &lt; 25% </v>
      </c>
      <c r="B13" s="226" t="str">
        <f>IF(calc!B6="","",calc!B6)</f>
        <v/>
      </c>
      <c r="C13" s="227">
        <f>IF(calc!C6="","",calc!C6)</f>
        <v>-2.0905923344947598E-2</v>
      </c>
      <c r="D13" s="224"/>
      <c r="E13" s="225" t="str">
        <f t="shared" si="0"/>
        <v/>
      </c>
      <c r="F13" s="271" t="str">
        <f>IF((IF(calc!F6="x",calc!M6,(IF(calc!B6+calc!C6&lt;calc!I6,calc!L6,(IF(calc!B6+calc!C6&gt;calc!J6,calc!N6))))))=0,"",(IF(calc!F6="x",calc!M6,(IF(calc!B6+calc!C6&lt;calc!I6,calc!L6,(IF(calc!B6+calc!C6&gt;calc!J6,calc!N6)))))))</f>
        <v>If &gt; 25%, probe for foggy thinking.</v>
      </c>
      <c r="G13" s="52"/>
      <c r="H13" s="56">
        <f>calc!O6</f>
        <v>0</v>
      </c>
      <c r="I13" s="29"/>
      <c r="J13" s="29"/>
      <c r="K13" s="30"/>
      <c r="L13" s="30"/>
      <c r="M13" s="30"/>
    </row>
    <row r="14" spans="1:13" s="31" customFormat="1" ht="18.75">
      <c r="A14" s="221" t="str">
        <f>calc!A7</f>
        <v>Theta Amplitude EO</v>
      </c>
      <c r="B14" s="222">
        <f>IF(calc!B7="","",calc!B7)</f>
        <v>4.66</v>
      </c>
      <c r="C14" s="263" t="str">
        <f>IF(calc!C7="","",calc!C7)</f>
        <v/>
      </c>
      <c r="D14" s="228"/>
      <c r="E14" s="225" t="str">
        <f t="shared" si="0"/>
        <v/>
      </c>
      <c r="F14" s="266" t="str">
        <f>IF((IF(calc!F7="x",calc!M7,(IF(calc!B7+calc!C7&lt;calc!I7,calc!L7,(IF(calc!B7+calc!C7&gt;calc!J7,calc!N7))))))=0,"",(IF(calc!F7="x",calc!M7,(IF(calc!B7+calc!C7&lt;calc!I7,calc!L7,(IF(calc!B7+calc!C7&gt;calc!J7,calc!N7)))))))</f>
        <v/>
      </c>
      <c r="G14" s="52"/>
      <c r="H14" s="56">
        <f>calc!O7</f>
        <v>0</v>
      </c>
      <c r="I14" s="29"/>
      <c r="J14" s="29"/>
      <c r="K14" s="30"/>
      <c r="L14" s="30"/>
      <c r="M14" s="30"/>
    </row>
    <row r="15" spans="1:13" s="31" customFormat="1" ht="18.75">
      <c r="A15" s="221" t="str">
        <f>calc!A8</f>
        <v>Beta Amplitude EO</v>
      </c>
      <c r="B15" s="222">
        <f>IF(calc!B8="","",calc!B8)</f>
        <v>3.6749999999999998</v>
      </c>
      <c r="C15" s="263" t="str">
        <f>IF(calc!C8="","",calc!C8)</f>
        <v/>
      </c>
      <c r="D15" s="228"/>
      <c r="E15" s="225" t="str">
        <f t="shared" si="0"/>
        <v/>
      </c>
      <c r="F15" s="266" t="str">
        <f>IF((IF(calc!F8="x",calc!M8,(IF(calc!B8+calc!C8&lt;calc!I8,calc!L8,(IF(calc!B8+calc!C8&gt;calc!J8,calc!N8))))))=0,"",(IF(calc!F8="x",calc!M8,(IF(calc!B8+calc!C8&lt;calc!I8,calc!L8,(IF(calc!B8+calc!C8&gt;calc!J8,calc!N8)))))))</f>
        <v/>
      </c>
      <c r="G15" s="52"/>
      <c r="H15" s="56">
        <f>calc!O8</f>
        <v>0</v>
      </c>
      <c r="I15" s="29"/>
      <c r="J15" s="29"/>
      <c r="K15" s="30"/>
      <c r="L15" s="30"/>
      <c r="M15" s="30"/>
    </row>
    <row r="16" spans="1:13" s="31" customFormat="1" ht="18.75">
      <c r="A16" s="221" t="str">
        <f>calc!A9</f>
        <v>EO Theta/Beta &lt; 2.2</v>
      </c>
      <c r="B16" s="222">
        <f>IF(calc!B9="","",calc!B9)</f>
        <v>1.2680272108843538</v>
      </c>
      <c r="C16" s="263" t="str">
        <f>IF(calc!C9="","",calc!C9)</f>
        <v/>
      </c>
      <c r="D16" s="228"/>
      <c r="E16" s="225" t="str">
        <f t="shared" si="0"/>
        <v/>
      </c>
      <c r="F16" s="271" t="str">
        <f>IF((IF(calc!F9="x",calc!M9,(IF(calc!B9+calc!C9&lt;calc!I9,calc!L9,(IF(calc!B9+calc!C9&gt;calc!J9,calc!N9))))))=0,"",(IF(calc!F9="x",calc!M9,(IF(calc!B9+calc!C9&lt;calc!I9,calc!L9,(IF(calc!B9+calc!C9&gt;calc!J9,calc!N9)))))))</f>
        <v xml:space="preserve">If &gt; 2.2, probe for CADD also refer to UT T/B description. </v>
      </c>
      <c r="G16" s="52"/>
      <c r="H16" s="56">
        <f>calc!O9</f>
        <v>0</v>
      </c>
      <c r="I16" s="29"/>
      <c r="J16" s="29"/>
      <c r="K16" s="30"/>
      <c r="L16" s="30"/>
      <c r="M16" s="30"/>
    </row>
    <row r="17" spans="1:13" s="31" customFormat="1" ht="18.75">
      <c r="A17" s="221" t="str">
        <f>calc!A10</f>
        <v>Theta Amplitude Under Task UT</v>
      </c>
      <c r="B17" s="222">
        <f>IF(calc!B10="","",calc!B10)</f>
        <v>5.67</v>
      </c>
      <c r="C17" s="263" t="str">
        <f>IF(calc!C10="","",calc!C10)</f>
        <v/>
      </c>
      <c r="D17" s="228"/>
      <c r="E17" s="225" t="str">
        <f t="shared" si="0"/>
        <v/>
      </c>
      <c r="F17" s="266" t="str">
        <f>IF((IF(calc!F10="x",calc!M10,(IF(calc!B10+calc!C10&lt;calc!I10,calc!L10,(IF(calc!B10+calc!C10&gt;calc!J10,calc!N10))))))=0,"",(IF(calc!F10="x",calc!M10,(IF(calc!B10+calc!C10&lt;calc!I10,calc!L10,(IF(calc!B10+calc!C10&gt;calc!J10,calc!N10)))))))</f>
        <v/>
      </c>
      <c r="G17" s="52"/>
      <c r="H17" s="56">
        <f>calc!O10</f>
        <v>0</v>
      </c>
      <c r="I17" s="29"/>
      <c r="J17" s="29"/>
      <c r="K17" s="30"/>
      <c r="L17" s="30"/>
      <c r="M17" s="30"/>
    </row>
    <row r="18" spans="1:13" s="31" customFormat="1" ht="18.75">
      <c r="A18" s="221" t="str">
        <f>calc!A11</f>
        <v>Beta Amplitude UT</v>
      </c>
      <c r="B18" s="222">
        <f>IF(calc!B11="","",calc!B11)</f>
        <v>3.13</v>
      </c>
      <c r="C18" s="263" t="str">
        <f>IF(calc!C11="","",calc!C11)</f>
        <v/>
      </c>
      <c r="D18" s="228"/>
      <c r="E18" s="225" t="str">
        <f t="shared" si="0"/>
        <v/>
      </c>
      <c r="F18" s="266" t="str">
        <f>IF((IF(calc!F11="x",calc!M11,(IF(calc!B11+calc!C11&lt;calc!I11,calc!L11,(IF(calc!B11+calc!C11&gt;calc!J11,calc!N11))))))=0,"",(IF(calc!F11="x",calc!M11,(IF(calc!B11+calc!C11&lt;calc!I11,calc!L11,(IF(calc!B11+calc!C11&gt;calc!J11,calc!N11)))))))</f>
        <v/>
      </c>
      <c r="G18" s="52"/>
      <c r="H18" s="56">
        <f>calc!O11</f>
        <v>0</v>
      </c>
      <c r="I18" s="29"/>
      <c r="J18" s="29"/>
      <c r="K18" s="30"/>
      <c r="L18" s="30"/>
      <c r="M18" s="30"/>
    </row>
    <row r="19" spans="1:13" s="31" customFormat="1" ht="37.5">
      <c r="A19" s="221" t="str">
        <f>calc!A12</f>
        <v>Theta/Beta UT &lt; 2.2</v>
      </c>
      <c r="B19" s="222">
        <f>IF(calc!B12="","",calc!B12)</f>
        <v>1.8115015974440896</v>
      </c>
      <c r="C19" s="263" t="str">
        <f>IF(calc!C12="","",calc!C12)</f>
        <v/>
      </c>
      <c r="D19" s="229"/>
      <c r="E19" s="225" t="str">
        <f t="shared" si="0"/>
        <v/>
      </c>
      <c r="F19" s="271" t="str">
        <f>IF((IF(calc!F12="x",calc!M12,(IF(calc!B12+calc!C12&lt;calc!I12,calc!L12,(IF(calc!B12+calc!C12&gt;calc!J12,calc!N12))))))=0,"",(IF(calc!F12="x",calc!M12,(IF(calc!B12+calc!C12&lt;calc!I12,calc!L12,(IF(calc!B12+calc!C12&gt;calc!J12,calc!N12)))))))</f>
        <v>If &gt;2.2, probe for CADD (ratio should drop UT); If &gt;3.0, probe for AD(H)D.  If &gt; 2.2 and if CZ EO T/B &lt; 2.2, probe for ADD and/or problems with poor reading comprehension/retention.</v>
      </c>
      <c r="G19" s="52"/>
      <c r="H19" s="56">
        <f>calc!O12</f>
        <v>0</v>
      </c>
      <c r="I19" s="29"/>
      <c r="J19" s="29"/>
      <c r="K19" s="30"/>
      <c r="L19" s="30"/>
      <c r="M19" s="30"/>
    </row>
    <row r="20" spans="1:13" s="31" customFormat="1" ht="30">
      <c r="A20" s="221" t="str">
        <f>calc!A13</f>
        <v>Percent change T/B EO to T/B EO UT &lt; 15%</v>
      </c>
      <c r="B20" s="264" t="str">
        <f>IF(calc!B13="","",calc!B13)</f>
        <v/>
      </c>
      <c r="C20" s="227">
        <f>IF(calc!C13="","",calc!C13)</f>
        <v>0.42859836279120794</v>
      </c>
      <c r="D20" s="230"/>
      <c r="E20" s="225" t="str">
        <f t="shared" si="0"/>
        <v>!</v>
      </c>
      <c r="F20" s="271" t="str">
        <f>IF((IF(calc!F13="x",calc!M13,(IF(calc!B13+calc!C13&lt;calc!I13,calc!L13,(IF(calc!B13+calc!C13&gt;calc!J13,calc!N13))))))=0,"",(IF(calc!F13="x",calc!M13,(IF(calc!B13+calc!C13&lt;calc!I13,calc!L13,(IF(calc!B13+calc!C13&gt;calc!J13,calc!N13)))))))</f>
        <v>If positive and &gt; 15%, probe for CADD.</v>
      </c>
      <c r="G20" s="53"/>
      <c r="H20" s="56">
        <f>calc!O13</f>
        <v>1</v>
      </c>
      <c r="I20" s="53"/>
      <c r="J20" s="53"/>
      <c r="K20" s="53"/>
      <c r="L20" s="53"/>
      <c r="M20" s="30"/>
    </row>
    <row r="21" spans="1:13" s="31" customFormat="1" ht="18.75">
      <c r="A21" s="221" t="str">
        <f>calc!A14</f>
        <v>% Beta Increase UT &lt; 15%</v>
      </c>
      <c r="B21" s="264" t="str">
        <f>IF(calc!B14="","",calc!B14)</f>
        <v/>
      </c>
      <c r="C21" s="227">
        <f>IF(calc!C14="","",calc!C14)</f>
        <v>-0.17412140575079871</v>
      </c>
      <c r="D21" s="228"/>
      <c r="E21" s="225" t="str">
        <f t="shared" si="0"/>
        <v/>
      </c>
      <c r="F21" s="271" t="str">
        <f>IF((IF(calc!F14="x",calc!M14,(IF(calc!B14+calc!C14&lt;calc!I14,calc!L14,(IF(calc!B14+calc!C14&gt;calc!J14,calc!N14))))))=0,"",(IF(calc!F14="x",calc!M14,(IF(calc!B14+calc!C14&lt;calc!I14,calc!L14,(IF(calc!B14+calc!C14&gt;calc!J14,calc!N14)))))))</f>
        <v>If &gt; 15%, probe for getting overly tired when reading or problem solving.</v>
      </c>
      <c r="G21" s="52"/>
      <c r="H21" s="56">
        <f>calc!O14</f>
        <v>0</v>
      </c>
      <c r="I21" s="29"/>
      <c r="J21" s="29"/>
      <c r="K21" s="30"/>
      <c r="L21" s="30"/>
      <c r="M21" s="30"/>
    </row>
    <row r="22" spans="1:13" s="31" customFormat="1" ht="18.75">
      <c r="A22" s="221" t="str">
        <f>calc!A15</f>
        <v>Total Amplitude &lt; 60</v>
      </c>
      <c r="B22" s="222">
        <f>IF(calc!B15="","",calc!B15)</f>
        <v>11.760000000000002</v>
      </c>
      <c r="C22" s="263" t="str">
        <f>IF(calc!C15="","",calc!C15)</f>
        <v/>
      </c>
      <c r="D22" s="228"/>
      <c r="E22" s="225" t="str">
        <f t="shared" si="0"/>
        <v/>
      </c>
      <c r="F22" s="271" t="str">
        <f>IF((IF(calc!F15="x",calc!M15,(IF(calc!B15+calc!C15&lt;calc!I15,calc!L15,(IF(calc!B15+calc!C15&gt;calc!J15,calc!N15))))))=0,"",(IF(calc!F15="x",calc!M15,(IF(calc!B15+calc!C15&lt;calc!I15,calc!L15,(IF(calc!B15+calc!C15&gt;calc!J15,calc!N15)))))))</f>
        <v>If &gt; 60 probe for development delay, autistic spectrum behavior, marked cognitive deficits.</v>
      </c>
      <c r="G22" s="52"/>
      <c r="H22" s="56">
        <f>calc!O15</f>
        <v>0</v>
      </c>
      <c r="I22" s="29"/>
      <c r="J22" s="29"/>
      <c r="K22" s="30"/>
      <c r="L22" s="30"/>
      <c r="M22" s="30"/>
    </row>
    <row r="23" spans="1:13" s="31" customFormat="1" ht="18.75">
      <c r="A23" s="221" t="str">
        <f>calc!A16</f>
        <v>Theta Amplitude preceding Omni</v>
      </c>
      <c r="B23" s="222">
        <f>IF(calc!B16="","",calc!B16)</f>
        <v>5.19</v>
      </c>
      <c r="C23" s="263" t="str">
        <f>IF(calc!C16="","",calc!C16)</f>
        <v/>
      </c>
      <c r="D23" s="228"/>
      <c r="E23" s="225" t="str">
        <f t="shared" si="0"/>
        <v/>
      </c>
      <c r="F23" s="266" t="str">
        <f>IF((IF(calc!F16="x",calc!M16,(IF(calc!B16+calc!C16&lt;calc!I16,calc!L16,(IF(calc!B16+calc!C16&gt;calc!J16,calc!N16))))))=0,"",(IF(calc!F16="x",calc!M16,(IF(calc!B16+calc!C16&lt;calc!I16,calc!L16,(IF(calc!B16+calc!C16&gt;calc!J16,calc!N16)))))))</f>
        <v/>
      </c>
      <c r="G23" s="52"/>
      <c r="H23" s="56">
        <f>calc!O16</f>
        <v>0</v>
      </c>
      <c r="I23" s="29"/>
      <c r="J23" s="29"/>
      <c r="K23" s="30"/>
      <c r="L23" s="30"/>
      <c r="M23" s="30"/>
    </row>
    <row r="24" spans="1:13" s="31" customFormat="1" ht="18.75">
      <c r="A24" s="221" t="str">
        <f>calc!A17</f>
        <v>Theta Amplitude with Omni</v>
      </c>
      <c r="B24" s="222">
        <f>IF(calc!B17="","",calc!B17)</f>
        <v>4.4849999999999994</v>
      </c>
      <c r="C24" s="263" t="str">
        <f>IF(calc!C17="","",calc!C17)</f>
        <v/>
      </c>
      <c r="D24" s="228"/>
      <c r="E24" s="225" t="str">
        <f t="shared" si="0"/>
        <v/>
      </c>
      <c r="F24" s="266" t="str">
        <f>IF((IF(calc!F17="x",calc!M17,(IF(calc!B17+calc!C17&lt;calc!I17,calc!L17,(IF(calc!B17+calc!C17&gt;calc!J17,calc!N17))))))=0,"",(IF(calc!F17="x",calc!M17,(IF(calc!B17+calc!C17&lt;calc!I17,calc!L17,(IF(calc!B17+calc!C17&gt;calc!J17,calc!N17)))))))</f>
        <v/>
      </c>
      <c r="G24" s="52"/>
      <c r="H24" s="56">
        <f>calc!O17</f>
        <v>0</v>
      </c>
      <c r="I24" s="29"/>
      <c r="J24" s="29"/>
      <c r="K24" s="30"/>
      <c r="L24" s="30"/>
      <c r="M24" s="30"/>
    </row>
    <row r="25" spans="1:13" s="31" customFormat="1" ht="37.5">
      <c r="A25" s="221" t="str">
        <f>calc!A18</f>
        <v>Percent change in Theta with Omni   &gt; -5%</v>
      </c>
      <c r="B25" s="264" t="str">
        <f>IF(calc!B18="","",calc!B18)</f>
        <v/>
      </c>
      <c r="C25" s="227">
        <f>IF(calc!C18="","",calc!C18)</f>
        <v>-0.15719063545150525</v>
      </c>
      <c r="D25" s="231"/>
      <c r="E25" s="225" t="str">
        <f t="shared" si="0"/>
        <v>!</v>
      </c>
      <c r="F25" s="271" t="str">
        <f>IF((IF(calc!F18="x",calc!M18,(IF(calc!B18+calc!C18&lt;calc!I18,calc!L18,(IF(calc!B18+calc!C18&gt;calc!J18,calc!N18))))))=0,"",(IF(calc!F18="x",calc!M18,(IF(calc!B18+calc!C18&lt;calc!I18,calc!L18,(IF(calc!B18+calc!C18&gt;calc!J18,calc!N18)))))))</f>
        <v>Positive % indicates Theta increase with Omni sound.  If % is negative and &gt; 5, prescribe for home use (positive % indicates Theta increase).</v>
      </c>
      <c r="G25" s="52"/>
      <c r="H25" s="56">
        <f>calc!O18</f>
        <v>1</v>
      </c>
      <c r="I25" s="29"/>
      <c r="J25" s="29"/>
      <c r="K25" s="30"/>
      <c r="L25" s="30"/>
      <c r="M25" s="30"/>
    </row>
    <row r="26" spans="1:13" s="31" customFormat="1" ht="18.75">
      <c r="A26" s="221" t="str">
        <f>calc!A19</f>
        <v>Alpha Peak Frequency EC &gt;9.5</v>
      </c>
      <c r="B26" s="222">
        <f>IF(calc!B19="","",calc!B19)</f>
        <v>10.45</v>
      </c>
      <c r="C26" s="263" t="str">
        <f>IF(calc!C19="","",calc!C19)</f>
        <v/>
      </c>
      <c r="D26" s="228"/>
      <c r="E26" s="225" t="str">
        <f t="shared" si="0"/>
        <v/>
      </c>
      <c r="F26" s="271" t="str">
        <f>IF((IF(calc!F19="x",calc!M19,(IF(calc!B19+calc!C19&lt;calc!I19,calc!L19,(IF(calc!B19+calc!C19&gt;calc!J19,calc!N19))))))=0,"",(IF(calc!F19="x",calc!M19,(IF(calc!B19+calc!C19&lt;calc!I19,calc!L19,(IF(calc!B19+calc!C19&gt;calc!J19,calc!N19)))))))</f>
        <v>If &lt; 9.5 probe for mental sluggishness.</v>
      </c>
      <c r="G26" s="52"/>
      <c r="H26" s="56">
        <f>calc!O19</f>
        <v>0</v>
      </c>
      <c r="I26" s="29"/>
      <c r="J26" s="29"/>
      <c r="K26" s="30"/>
      <c r="L26" s="30"/>
      <c r="M26" s="30"/>
    </row>
    <row r="27" spans="1:13" s="31" customFormat="1" ht="18.75">
      <c r="A27" s="221" t="str">
        <f>calc!A20</f>
        <v>Alpha Peak Frequency EO &gt;9.5</v>
      </c>
      <c r="B27" s="222">
        <f>IF(calc!B20="","",calc!B20)</f>
        <v>10.61</v>
      </c>
      <c r="C27" s="263" t="str">
        <f>IF(calc!C20="","",calc!C20)</f>
        <v/>
      </c>
      <c r="D27" s="228"/>
      <c r="E27" s="225" t="str">
        <f t="shared" si="0"/>
        <v/>
      </c>
      <c r="F27" s="271" t="str">
        <f>IF((IF(calc!F20="x",calc!M20,(IF(calc!B20+calc!C20&lt;calc!I20,calc!L20,(IF(calc!B20+calc!C20&gt;calc!J20,calc!N20))))))=0,"",(IF(calc!F20="x",calc!M20,(IF(calc!B20+calc!C20&lt;calc!I20,calc!L20,(IF(calc!B20+calc!C20&gt;calc!J20,calc!N20)))))))</f>
        <v>If &lt; 9.5 probe for mental sluggishness.</v>
      </c>
      <c r="G27" s="52"/>
      <c r="H27" s="56">
        <f>calc!O20</f>
        <v>0</v>
      </c>
      <c r="I27" s="29"/>
      <c r="J27" s="29"/>
      <c r="K27" s="30"/>
      <c r="L27" s="30"/>
      <c r="M27" s="30"/>
    </row>
    <row r="28" spans="1:13" s="31" customFormat="1" ht="56.25">
      <c r="A28" s="221" t="str">
        <f>calc!A21</f>
        <v>Theta/SMR EC &lt; 3</v>
      </c>
      <c r="B28" s="222">
        <f>IF(calc!B21="","",calc!B21)</f>
        <v>1.8700361010830324</v>
      </c>
      <c r="C28" s="263" t="str">
        <f>IF(calc!C21="","",calc!C21)</f>
        <v/>
      </c>
      <c r="D28" s="228"/>
      <c r="E28" s="225" t="str">
        <f t="shared" si="0"/>
        <v/>
      </c>
      <c r="F28" s="271" t="str">
        <f>IF((IF(calc!F21="x",calc!M21,(IF(calc!B21+calc!C21&lt;calc!I21,calc!L21,(IF(calc!B21+calc!C21&gt;calc!J21,calc!N21))))))=0,"",(IF(calc!F21="x",calc!M21,(IF(calc!B21+calc!C21&lt;calc!I21,calc!L21,(IF(calc!B21+calc!C21&gt;calc!J21,calc!N21)))))))</f>
        <v>If &gt; 3, probe for inability to sit still or quiet the body; sleep disturbance as in trouble falling asleep. If &gt; 3, probe for problems related to muscle activity such as headaches, chronic pain, body tremors, dystonia &amp; seizure disorders that have a motor component.</v>
      </c>
      <c r="G28" s="52"/>
      <c r="H28" s="56">
        <f>calc!O21</f>
        <v>0</v>
      </c>
      <c r="I28" s="29"/>
      <c r="J28" s="29"/>
      <c r="K28" s="30"/>
      <c r="L28" s="30"/>
      <c r="M28" s="30"/>
    </row>
    <row r="29" spans="1:13" ht="10.5" customHeight="1">
      <c r="A29" s="232"/>
      <c r="B29" s="233"/>
      <c r="C29" s="233"/>
      <c r="D29" s="234"/>
      <c r="E29" s="235"/>
      <c r="F29" s="236"/>
      <c r="G29" s="13"/>
      <c r="H29" s="28"/>
      <c r="I29" s="14"/>
      <c r="J29" s="14"/>
      <c r="K29" s="12"/>
      <c r="L29" s="12"/>
      <c r="M29" s="12"/>
    </row>
    <row r="30" spans="1:13" s="12" customFormat="1" ht="18">
      <c r="A30" s="237" t="s">
        <v>12</v>
      </c>
      <c r="B30" s="217" t="s">
        <v>1</v>
      </c>
      <c r="C30" s="217" t="s">
        <v>106</v>
      </c>
      <c r="D30" s="234"/>
      <c r="E30" s="235"/>
      <c r="F30" s="272"/>
      <c r="G30" s="13"/>
      <c r="H30" s="28"/>
      <c r="I30" s="14"/>
      <c r="J30" s="14"/>
    </row>
    <row r="31" spans="1:13" s="12" customFormat="1" ht="18.75">
      <c r="A31" s="238" t="str">
        <f>calc!A24</f>
        <v>Alpha EO</v>
      </c>
      <c r="B31" s="222">
        <f>IF(calc!B24="","",calc!B24)</f>
        <v>1.79</v>
      </c>
      <c r="C31" s="263" t="str">
        <f>IF(calc!C24="","",calc!C24)</f>
        <v/>
      </c>
      <c r="D31" s="234"/>
      <c r="E31" s="225" t="str">
        <f t="shared" ref="E31:E44" si="1">IF(H31=1,"!","")</f>
        <v/>
      </c>
      <c r="F31" s="266" t="str">
        <f>IF((IF(calc!F24="x",calc!M24,(IF(calc!B24+calc!C24&lt;calc!I24,calc!L24,(IF(calc!B24+calc!C24&gt;calc!J24,calc!N24))))))=0,"",(IF(calc!F24="x",calc!M24,(IF(calc!B24+calc!C24&lt;calc!I24,calc!L24,(IF(calc!B24+calc!C24&gt;calc!J24,calc!N24)))))))</f>
        <v/>
      </c>
      <c r="G31" s="13"/>
      <c r="H31" s="56">
        <f>calc!O24</f>
        <v>0</v>
      </c>
      <c r="I31" s="14"/>
      <c r="J31" s="14"/>
    </row>
    <row r="32" spans="1:13" s="12" customFormat="1" ht="18.75">
      <c r="A32" s="238" t="str">
        <f>calc!A25</f>
        <v>Alpha EC</v>
      </c>
      <c r="B32" s="222">
        <f>IF(calc!B25="","",calc!B25)</f>
        <v>4.79</v>
      </c>
      <c r="C32" s="263" t="str">
        <f>IF(calc!C25="","",calc!C25)</f>
        <v/>
      </c>
      <c r="D32" s="234"/>
      <c r="E32" s="225" t="str">
        <f t="shared" si="1"/>
        <v/>
      </c>
      <c r="F32" s="266" t="str">
        <f>IF((IF(calc!F25="x",calc!M25,(IF(calc!B25+calc!C25&lt;calc!I25,calc!L25,(IF(calc!B25+calc!C25&gt;calc!J25,calc!N25))))))=0,"",(IF(calc!F25="x",calc!M25,(IF(calc!B25+calc!C25&lt;calc!I25,calc!L25,(IF(calc!B25+calc!C25&gt;calc!J25,calc!N25)))))))</f>
        <v/>
      </c>
      <c r="G32" s="13"/>
      <c r="H32" s="56">
        <f>calc!O25</f>
        <v>0</v>
      </c>
      <c r="I32" s="14"/>
      <c r="J32" s="14"/>
    </row>
    <row r="33" spans="1:13" s="12" customFormat="1" ht="37.5">
      <c r="A33" s="238" t="str">
        <f>calc!A26</f>
        <v>% Change in Alpha EO to EC &gt; 50%</v>
      </c>
      <c r="B33" s="263" t="str">
        <f>IF(calc!B26="","",calc!B26)</f>
        <v/>
      </c>
      <c r="C33" s="227">
        <f>IF(calc!C26="","",calc!C26)</f>
        <v>1.6759776536312849</v>
      </c>
      <c r="D33" s="210"/>
      <c r="E33" s="225" t="str">
        <f t="shared" si="1"/>
        <v>!</v>
      </c>
      <c r="F33" s="271" t="str">
        <f>IF((IF(calc!F26="x",calc!M26,(IF(calc!B26+calc!C26&lt;calc!I26,calc!L26,(IF(calc!B26+calc!C26&gt;calc!J26,calc!N26))))))=0,"",(IF(calc!F26="x",calc!M26,(IF(calc!B26+calc!C26&lt;calc!I26,calc!L26,(IF(calc!B26+calc!C26&gt;calc!J26,calc!N26)))))))</f>
        <v>If EC increase is &lt; 50% or negative, and also seen at Cz, probe for traumatic stress. If 150% + probe for artistic interest or skills (visual arts, dance, poetry, carpentry, etc.)</v>
      </c>
      <c r="G33" s="13"/>
      <c r="H33" s="56">
        <f>calc!O26</f>
        <v>1</v>
      </c>
      <c r="I33" s="14"/>
      <c r="J33" s="14"/>
    </row>
    <row r="34" spans="1:13" s="12" customFormat="1" ht="18.75">
      <c r="A34" s="238" t="str">
        <f>calc!A27</f>
        <v xml:space="preserve">EO Alpha Recovery </v>
      </c>
      <c r="B34" s="222">
        <f>IF(calc!B27="","",calc!B27)</f>
        <v>2.2999999999999998</v>
      </c>
      <c r="C34" s="263" t="str">
        <f>IF(calc!C27="","",calc!C27)</f>
        <v/>
      </c>
      <c r="D34" s="234"/>
      <c r="E34" s="225" t="str">
        <f t="shared" si="1"/>
        <v/>
      </c>
      <c r="F34" s="266" t="str">
        <f>IF((IF(calc!F27="x",calc!M27,(IF(calc!B27+calc!C27&lt;calc!I27,calc!L27,(IF(calc!B27+calc!C27&gt;calc!J27,calc!N27))))))=0,"",(IF(calc!F27="x",calc!M27,(IF(calc!B27+calc!C27&lt;calc!I27,calc!L27,(IF(calc!B27+calc!C27&gt;calc!J27,calc!N27)))))))</f>
        <v/>
      </c>
      <c r="G34" s="13"/>
      <c r="H34" s="56">
        <f>calc!O27</f>
        <v>0</v>
      </c>
      <c r="I34" s="14"/>
      <c r="J34" s="14"/>
    </row>
    <row r="35" spans="1:13" s="12" customFormat="1" ht="30">
      <c r="A35" s="238" t="str">
        <f>calc!A28</f>
        <v>% change EO Alpha 
to EO Alpha after EC &lt; 25%</v>
      </c>
      <c r="B35" s="223" t="str">
        <f>IF(calc!B28="","",calc!B28)</f>
        <v/>
      </c>
      <c r="C35" s="227">
        <f>IF(calc!C28="","",calc!C28)</f>
        <v>0.2849162011173183</v>
      </c>
      <c r="D35" s="239"/>
      <c r="E35" s="225" t="str">
        <f t="shared" si="1"/>
        <v>!</v>
      </c>
      <c r="F35" s="271" t="str">
        <f>IF((IF(calc!F28="x",calc!M28,(IF(calc!B28+calc!C28&lt;calc!I28,calc!L28,(IF(calc!B28+calc!C28&gt;calc!J28,calc!N28))))))=0,"",(IF(calc!F28="x",calc!M28,(IF(calc!B28+calc!C28&lt;calc!I28,calc!L28,(IF(calc!B28+calc!C28&gt;calc!J28,calc!N28)))))))</f>
        <v>If &gt;25%, probe for foggy thinking.</v>
      </c>
      <c r="G35" s="13"/>
      <c r="H35" s="56">
        <f>calc!O28</f>
        <v>1</v>
      </c>
      <c r="I35" s="14"/>
      <c r="J35" s="14"/>
    </row>
    <row r="36" spans="1:13" s="12" customFormat="1" ht="18.75">
      <c r="A36" s="238" t="str">
        <f>calc!A29</f>
        <v>Theta Amplitude EO</v>
      </c>
      <c r="B36" s="222">
        <f>IF(calc!B29="","",calc!B29)</f>
        <v>2.52</v>
      </c>
      <c r="C36" s="263" t="str">
        <f>IF(calc!C29="","",calc!C29)</f>
        <v/>
      </c>
      <c r="D36" s="210"/>
      <c r="E36" s="225" t="str">
        <f t="shared" si="1"/>
        <v/>
      </c>
      <c r="F36" s="266" t="str">
        <f>IF((IF(calc!F29="x",calc!M29,(IF(calc!B29+calc!C29&lt;calc!I29,calc!L29,(IF(calc!B29+calc!C29&gt;calc!J29,calc!N29))))))=0,"",(IF(calc!F29="x",calc!M29,(IF(calc!B29+calc!C29&lt;calc!I29,calc!L29,(IF(calc!B29+calc!C29&gt;calc!J29,calc!N29)))))))</f>
        <v/>
      </c>
      <c r="G36" s="13"/>
      <c r="H36" s="56">
        <f>calc!O29</f>
        <v>0</v>
      </c>
      <c r="I36" s="14"/>
      <c r="J36" s="14"/>
    </row>
    <row r="37" spans="1:13" s="12" customFormat="1" ht="18.75">
      <c r="A37" s="238" t="str">
        <f>calc!A30</f>
        <v>Beta Amplitude EO</v>
      </c>
      <c r="B37" s="222">
        <f>IF(calc!B30="","",calc!B30)</f>
        <v>2.73</v>
      </c>
      <c r="C37" s="263" t="str">
        <f>IF(calc!C30="","",calc!C30)</f>
        <v/>
      </c>
      <c r="D37" s="210"/>
      <c r="E37" s="225" t="str">
        <f t="shared" si="1"/>
        <v/>
      </c>
      <c r="F37" s="266" t="str">
        <f>IF((IF(calc!F30="x",calc!M30,(IF(calc!B30+calc!C30&lt;calc!I30,calc!L30,(IF(calc!B30+calc!C30&gt;calc!J30,calc!N30))))))=0,"",(IF(calc!F30="x",calc!M30,(IF(calc!B30+calc!C30&lt;calc!I30,calc!L30,(IF(calc!B30+calc!C30&gt;calc!J30,calc!N30)))))))</f>
        <v/>
      </c>
      <c r="G37" s="13"/>
      <c r="H37" s="56">
        <f>calc!O30</f>
        <v>0</v>
      </c>
      <c r="I37" s="14"/>
      <c r="J37" s="14"/>
    </row>
    <row r="38" spans="1:13" s="12" customFormat="1" ht="56.25">
      <c r="A38" s="238" t="str">
        <f>calc!A31</f>
        <v>Theta/Beta EO 1.8 - 2.2</v>
      </c>
      <c r="B38" s="222">
        <f>IF(calc!B31="","",calc!B31)</f>
        <v>0.92307692307692313</v>
      </c>
      <c r="C38" s="263" t="str">
        <f>IF(calc!C31="","",calc!C31)</f>
        <v/>
      </c>
      <c r="D38" s="210"/>
      <c r="E38" s="225" t="str">
        <f t="shared" si="1"/>
        <v>!</v>
      </c>
      <c r="F38" s="271" t="str">
        <f>IF((IF(calc!F31="x",calc!M31,(IF(calc!B31+calc!C31&lt;calc!I31,calc!L31,(IF(calc!B31+calc!C31&gt;calc!J31,calc!N31))))))=0,"",(IF(calc!F31="x",calc!M31,(IF(calc!B31+calc!C31&lt;calc!I31,calc!L31,(IF(calc!B31+calc!C31&gt;calc!J31,calc!N31)))))))</f>
        <v>If &lt; 1.8, probe for poor stress tolerance, racing thoughts, anxiety, inefficient self-quieting.  If &lt;&lt; 1.8 probe for predisposition to self-medicating behaviors, GAD &amp; stress precipitated depression. If &gt; 3.0 probe for cognitive deficiencies or Asperger's patterns; also see F4/F3 Beta for symptom.  Also applies to T/B EC.</v>
      </c>
      <c r="G38" s="13"/>
      <c r="H38" s="56">
        <f>calc!O31</f>
        <v>1</v>
      </c>
      <c r="I38" s="14"/>
      <c r="J38" s="14"/>
    </row>
    <row r="39" spans="1:13" s="12" customFormat="1" ht="18.75">
      <c r="A39" s="238" t="str">
        <f>calc!A32</f>
        <v>Theta Amplitude EC</v>
      </c>
      <c r="B39" s="222">
        <f>IF(calc!B32="","",calc!B32)</f>
        <v>4.66</v>
      </c>
      <c r="C39" s="263" t="str">
        <f>IF(calc!C32="","",calc!C32)</f>
        <v/>
      </c>
      <c r="D39" s="210"/>
      <c r="E39" s="225" t="str">
        <f t="shared" si="1"/>
        <v/>
      </c>
      <c r="F39" s="266" t="str">
        <f>IF((IF(calc!F32="x",calc!M32,(IF(calc!B32+calc!C32&lt;calc!I32,calc!L32,(IF(calc!B32+calc!C32&gt;calc!J32,calc!N32))))))=0,"",(IF(calc!F32="x",calc!M32,(IF(calc!B32+calc!C32&lt;calc!I32,calc!L32,(IF(calc!B32+calc!C32&gt;calc!J32,calc!N32)))))))</f>
        <v/>
      </c>
      <c r="G39" s="13"/>
      <c r="H39" s="56">
        <f>calc!O32</f>
        <v>0</v>
      </c>
      <c r="I39" s="14"/>
      <c r="J39" s="14"/>
    </row>
    <row r="40" spans="1:13" s="12" customFormat="1" ht="18.75">
      <c r="A40" s="238" t="str">
        <f>calc!A33</f>
        <v>Beta Amplitude EC</v>
      </c>
      <c r="B40" s="222">
        <f>IF(calc!B33="","",calc!B33)</f>
        <v>5.73</v>
      </c>
      <c r="C40" s="263" t="str">
        <f>IF(calc!C33="","",calc!C33)</f>
        <v/>
      </c>
      <c r="D40" s="210"/>
      <c r="E40" s="225" t="str">
        <f t="shared" si="1"/>
        <v/>
      </c>
      <c r="F40" s="266" t="str">
        <f>IF((IF(calc!F33="x",calc!M33,(IF(calc!B33+calc!C33&lt;calc!I33,calc!L33,(IF(calc!B33+calc!C33&gt;calc!J33,calc!N33))))))=0,"",(IF(calc!F33="x",calc!M33,(IF(calc!B33+calc!C33&lt;calc!I33,calc!L33,(IF(calc!B33+calc!C33&gt;calc!J33,calc!N33)))))))</f>
        <v/>
      </c>
      <c r="G40" s="13"/>
      <c r="H40" s="56">
        <f>calc!O33</f>
        <v>0</v>
      </c>
      <c r="I40" s="14"/>
      <c r="J40" s="14"/>
    </row>
    <row r="41" spans="1:13" s="12" customFormat="1" ht="18.75">
      <c r="A41" s="238" t="str">
        <f>calc!A34</f>
        <v>Theta/Beta EC 1.8 - 2.2</v>
      </c>
      <c r="B41" s="222">
        <f>IF(calc!B34="","",calc!B34)</f>
        <v>0.81326352530541013</v>
      </c>
      <c r="C41" s="263" t="str">
        <f>IF(calc!C34="","",calc!C34)</f>
        <v/>
      </c>
      <c r="D41" s="234"/>
      <c r="E41" s="225" t="str">
        <f t="shared" si="1"/>
        <v>!</v>
      </c>
      <c r="F41" s="271" t="str">
        <f>IF((IF(calc!F34="x",calc!M34,(IF(calc!B34+calc!C34&lt;calc!I34,calc!L34,(IF(calc!B34+calc!C34&gt;calc!J34,calc!N34))))))=0,"",(IF(calc!F34="x",calc!M34,(IF(calc!B34+calc!C34&lt;calc!I34,calc!L34,(IF(calc!B34+calc!C34&gt;calc!J34,calc!N34)))))))</f>
        <v>If both EC and EO about = or &lt; 1.5, probe for sleep disturbance.  Also see T/B EO for description of probes.</v>
      </c>
      <c r="G41" s="13"/>
      <c r="H41" s="56">
        <f>calc!O34</f>
        <v>1</v>
      </c>
      <c r="I41" s="14"/>
      <c r="J41" s="14"/>
    </row>
    <row r="42" spans="1:13" s="12" customFormat="1" ht="18.75">
      <c r="A42" s="238" t="str">
        <f>calc!A35</f>
        <v>% change EO to EC T/B ratio  &gt;  25%</v>
      </c>
      <c r="B42" s="263" t="str">
        <f>IF(calc!B35="","",calc!B35)</f>
        <v/>
      </c>
      <c r="C42" s="227">
        <f>IF(calc!C35="","",calc!C35)</f>
        <v>-0.13502806206668874</v>
      </c>
      <c r="D42" s="210"/>
      <c r="E42" s="225" t="str">
        <f t="shared" si="1"/>
        <v/>
      </c>
      <c r="F42" s="271" t="str">
        <f>IF((IF(calc!F35="x",calc!M35,(IF(calc!B35+calc!C35&lt;calc!I35,calc!L35,(IF(calc!B35+calc!C35&gt;calc!J35,calc!N35))))))=0,"",(IF(calc!F35="x",calc!M35,(IF(calc!B35+calc!C35&lt;calc!I35,calc!L35,(IF(calc!B35+calc!C35&gt;calc!J35,calc!N35)))))))</f>
        <v>If % is negative and &gt; 25, question sleep onset difficulties. Positive % means an increase from EO to EC.</v>
      </c>
      <c r="G42" s="13"/>
      <c r="H42" s="56">
        <f>calc!O35</f>
        <v>0</v>
      </c>
      <c r="I42" s="14"/>
      <c r="J42" s="14"/>
    </row>
    <row r="43" spans="1:13" s="12" customFormat="1" ht="18.75">
      <c r="A43" s="238" t="str">
        <f>calc!A36</f>
        <v>Alpha Peak Frequency EC &gt; 9.5</v>
      </c>
      <c r="B43" s="222">
        <f>IF(calc!B36="","",calc!B36)</f>
        <v>10.35</v>
      </c>
      <c r="C43" s="263" t="str">
        <f>IF(calc!C36="","",calc!C36)</f>
        <v/>
      </c>
      <c r="D43" s="210"/>
      <c r="E43" s="225" t="str">
        <f t="shared" si="1"/>
        <v/>
      </c>
      <c r="F43" s="271" t="str">
        <f>IF((IF(calc!F36="x",calc!M36,(IF(calc!B36+calc!C36&lt;calc!I36,calc!L36,(IF(calc!B36+calc!C36&gt;calc!J36,calc!N36))))))=0,"",(IF(calc!F36="x",calc!M36,(IF(calc!B36+calc!C36&lt;calc!I36,calc!L36,(IF(calc!B36+calc!C36&gt;calc!J36,calc!N36)))))))</f>
        <v>If &lt; 9.5, probe for mental sluggishness.</v>
      </c>
      <c r="G43" s="15"/>
      <c r="H43" s="56">
        <f>calc!O36</f>
        <v>0</v>
      </c>
      <c r="I43" s="15"/>
      <c r="J43" s="15"/>
    </row>
    <row r="44" spans="1:13" s="12" customFormat="1" ht="18.75">
      <c r="A44" s="238" t="str">
        <f>calc!A37</f>
        <v>Alpha Peak Frequency EO &gt; 9.5</v>
      </c>
      <c r="B44" s="222">
        <f>IF(calc!B37="","",calc!B37)</f>
        <v>10.78</v>
      </c>
      <c r="C44" s="263" t="str">
        <f>IF(calc!C37="","",calc!C37)</f>
        <v/>
      </c>
      <c r="D44" s="210"/>
      <c r="E44" s="225" t="str">
        <f t="shared" si="1"/>
        <v/>
      </c>
      <c r="F44" s="271" t="str">
        <f>IF((IF(calc!F37="x",calc!M37,(IF(calc!B37+calc!C37&lt;calc!I37,calc!L37,(IF(calc!B37+calc!C37&gt;calc!J37,calc!N37))))))=0,"",(IF(calc!F37="x",calc!M37,(IF(calc!B37+calc!C37&lt;calc!I37,calc!L37,(IF(calc!B37+calc!C37&gt;calc!J37,calc!N37)))))))</f>
        <v>If &lt; 9.5, probe for mental sluggishness.</v>
      </c>
      <c r="G44" s="15"/>
      <c r="H44" s="56">
        <f>calc!O37</f>
        <v>0</v>
      </c>
      <c r="I44" s="15"/>
      <c r="J44" s="15"/>
    </row>
    <row r="45" spans="1:13" s="12" customFormat="1" ht="8.25" customHeight="1">
      <c r="A45" s="240"/>
      <c r="B45" s="241"/>
      <c r="C45" s="241"/>
      <c r="D45" s="210"/>
      <c r="E45" s="235"/>
      <c r="F45" s="236"/>
      <c r="G45" s="13"/>
      <c r="H45" s="28"/>
      <c r="I45" s="14"/>
      <c r="J45" s="14"/>
    </row>
    <row r="46" spans="1:13" ht="15.95" customHeight="1">
      <c r="A46" s="237" t="s">
        <v>20</v>
      </c>
      <c r="B46" s="242" t="s">
        <v>29</v>
      </c>
      <c r="C46" s="217" t="s">
        <v>30</v>
      </c>
      <c r="D46" s="243" t="s">
        <v>106</v>
      </c>
      <c r="E46" s="235"/>
      <c r="F46" s="201"/>
      <c r="G46" s="13"/>
      <c r="H46" s="55"/>
      <c r="I46" s="16"/>
      <c r="J46" s="16"/>
      <c r="K46" s="14"/>
      <c r="L46" s="14"/>
      <c r="M46" s="12"/>
    </row>
    <row r="47" spans="1:13" ht="18.75">
      <c r="A47" s="238" t="str">
        <f>calc!A53</f>
        <v>Theta Amplitude EC</v>
      </c>
      <c r="B47" s="222">
        <f>calc!B40</f>
        <v>4.6399999999999997</v>
      </c>
      <c r="C47" s="222">
        <f>calc!B53</f>
        <v>6.08</v>
      </c>
      <c r="D47" s="265"/>
      <c r="E47" s="225" t="str">
        <f t="shared" ref="E47:E57" si="2">IF(H47=1,"!","")</f>
        <v/>
      </c>
      <c r="F47" s="266" t="str">
        <f>IF((IF(calc!F53="x",calc!M53,(IF(calc!B53+calc!C53&lt;calc!I53,calc!L53,(IF(calc!B53+calc!C53&gt;calc!J53,calc!N53))))))=0,"",(IF(calc!F53="x",calc!M53,(IF(calc!B53+calc!C53&lt;calc!I53,calc!L53,(IF(calc!B53+calc!C53&gt;calc!J53,calc!N53)))))))</f>
        <v/>
      </c>
      <c r="G47" s="13"/>
      <c r="H47" s="56">
        <f>calc!O53</f>
        <v>0</v>
      </c>
      <c r="I47" s="17"/>
      <c r="J47" s="17"/>
      <c r="K47" s="14"/>
      <c r="L47" s="14"/>
      <c r="M47" s="12"/>
    </row>
    <row r="48" spans="1:13" ht="18.75">
      <c r="A48" s="238" t="str">
        <f>calc!A54</f>
        <v>Beta Amplitude EC</v>
      </c>
      <c r="B48" s="222">
        <f>calc!B41</f>
        <v>3.85</v>
      </c>
      <c r="C48" s="222">
        <f>calc!B54</f>
        <v>4.47</v>
      </c>
      <c r="D48" s="265"/>
      <c r="E48" s="225" t="str">
        <f t="shared" si="2"/>
        <v/>
      </c>
      <c r="F48" s="266" t="str">
        <f>IF((IF(calc!F54="x",calc!M54,(IF(calc!B54+calc!C54&lt;calc!I54,calc!L54,(IF(calc!B54+calc!C54&gt;calc!J54,calc!N54))))))=0,"",(IF(calc!F54="x",calc!M54,(IF(calc!B54+calc!C54&lt;calc!I54,calc!L54,(IF(calc!B54+calc!C54&gt;calc!J54,calc!N54)))))))</f>
        <v/>
      </c>
      <c r="G48" s="13"/>
      <c r="H48" s="56">
        <f>calc!O54</f>
        <v>0</v>
      </c>
      <c r="I48" s="17"/>
      <c r="J48" s="17"/>
      <c r="K48" s="14"/>
      <c r="L48" s="14"/>
      <c r="M48" s="12"/>
    </row>
    <row r="49" spans="1:13" ht="58.5" customHeight="1">
      <c r="A49" s="238" t="str">
        <f>calc!A55</f>
        <v>Theta /Beta EC &lt; 2.2</v>
      </c>
      <c r="B49" s="222">
        <f>calc!B42</f>
        <v>1.2051948051948052</v>
      </c>
      <c r="C49" s="222">
        <f>calc!B55</f>
        <v>1.3601789709172261</v>
      </c>
      <c r="D49" s="265"/>
      <c r="E49" s="225" t="str">
        <f t="shared" si="2"/>
        <v/>
      </c>
      <c r="F49" s="271" t="str">
        <f>IF((IF(calc!F55="x",calc!M55,(IF(calc!B55+calc!C55&lt;calc!I55,calc!L55,(IF(calc!B55+calc!C55&gt;calc!J55,calc!N55))))))=0,"",(IF(calc!F55="x",calc!M55,(IF(calc!B55+calc!C55&lt;calc!I55,calc!L55,(IF(calc!B55+calc!C55&gt;calc!J55,calc!N55)))))))</f>
        <v>If F3 or F4 Theta/Beta EC &gt; 2.2, probe for cognitive deficiencies associated with retrieval of information, impulse control, emotional volatility, etc.  Probe for depression in adults &amp; impulse control in children.</v>
      </c>
      <c r="G49" s="13"/>
      <c r="H49" s="56">
        <f>calc!O55</f>
        <v>0</v>
      </c>
      <c r="I49" s="16"/>
      <c r="J49" s="16"/>
      <c r="K49" s="14"/>
      <c r="L49" s="14"/>
      <c r="M49" s="12"/>
    </row>
    <row r="50" spans="1:13" s="20" customFormat="1" ht="56.25">
      <c r="A50" s="238" t="str">
        <f>calc!A56</f>
        <v>% Difference between
F3 T/B &amp; F4 T/B &lt; 20%</v>
      </c>
      <c r="B50" s="222">
        <f>calc!B42</f>
        <v>1.2051948051948052</v>
      </c>
      <c r="C50" s="222">
        <f>calc!B55</f>
        <v>1.3601789709172261</v>
      </c>
      <c r="D50" s="244">
        <f>calc!C56</f>
        <v>0.12859677543778458</v>
      </c>
      <c r="E50" s="225" t="str">
        <f t="shared" si="2"/>
        <v/>
      </c>
      <c r="F50" s="271" t="str">
        <f>IF((IF(calc!F56="x",calc!M56,(IF(calc!B56+calc!C56&lt;calc!I56,calc!L56,(IF(calc!B56+calc!C56&gt;calc!J56,calc!N56))))))=0,"",(IF(calc!F56="x",calc!M56,(IF(calc!B56+calc!C56&lt;calc!I56,calc!L56,(IF(calc!B56+calc!C56&gt;calc!J56,calc!N56)))))))</f>
        <v>If % difference b/w F3 T/B &amp; F4 T/B EC is negative and &gt; 20% probe for emotional volatility, anger management problems, emotional impulse control.  In males, in particular, emotional restrictions (very narrow emotional window) that seems to be a response to or effort to control emotional volatility.</v>
      </c>
      <c r="G50" s="13"/>
      <c r="H50" s="56">
        <f>calc!O56</f>
        <v>0</v>
      </c>
      <c r="I50" s="14"/>
      <c r="J50" s="14"/>
      <c r="K50" s="21"/>
      <c r="L50" s="18"/>
      <c r="M50" s="19"/>
    </row>
    <row r="51" spans="1:13" ht="23.25" customHeight="1">
      <c r="A51" s="238" t="str">
        <f>calc!A57</f>
        <v>Theta Amplitude EC</v>
      </c>
      <c r="B51" s="222">
        <f>calc!B44</f>
        <v>4.6399999999999997</v>
      </c>
      <c r="C51" s="222">
        <f>calc!B57</f>
        <v>6.08</v>
      </c>
      <c r="D51" s="265"/>
      <c r="E51" s="225" t="str">
        <f t="shared" si="2"/>
        <v/>
      </c>
      <c r="F51" s="266" t="str">
        <f>IF((IF(calc!F57="x",calc!M57,(IF(calc!B57+calc!C57&lt;calc!I57,calc!L57,(IF(calc!B57+calc!C57&gt;calc!J57,calc!N57))))))=0,"",(IF(calc!F57="x",calc!M57,(IF(calc!B57+calc!C57&lt;calc!I57,calc!L57,(IF(calc!B57+calc!C57&gt;calc!J57,calc!N57)))))))</f>
        <v/>
      </c>
      <c r="G51" s="13"/>
      <c r="H51" s="56">
        <f>calc!O57</f>
        <v>0</v>
      </c>
      <c r="I51" s="16"/>
      <c r="J51" s="16"/>
      <c r="K51" s="14"/>
      <c r="L51" s="14"/>
      <c r="M51" s="12"/>
    </row>
    <row r="52" spans="1:13" ht="18.75">
      <c r="A52" s="238" t="str">
        <f>calc!A58</f>
        <v>Alpha Amplitude EC</v>
      </c>
      <c r="B52" s="222">
        <f>calc!B45</f>
        <v>2.99</v>
      </c>
      <c r="C52" s="222">
        <f>calc!B58</f>
        <v>3.7</v>
      </c>
      <c r="D52" s="265"/>
      <c r="E52" s="225" t="str">
        <f t="shared" si="2"/>
        <v/>
      </c>
      <c r="F52" s="266" t="str">
        <f>IF((IF(calc!F58="x",calc!M58,(IF(calc!B58+calc!C58&lt;calc!I58,calc!L58,(IF(calc!B58+calc!C58&gt;calc!J58,calc!N58))))))=0,"",(IF(calc!F58="x",calc!M58,(IF(calc!B58+calc!C58&lt;calc!I58,calc!L58,(IF(calc!B58+calc!C58&gt;calc!J58,calc!N58)))))))</f>
        <v/>
      </c>
      <c r="G52" s="13"/>
      <c r="H52" s="56">
        <f>calc!O58</f>
        <v>0</v>
      </c>
      <c r="I52" s="14"/>
      <c r="J52" s="14"/>
      <c r="K52" s="12"/>
      <c r="L52" s="12"/>
      <c r="M52" s="12"/>
    </row>
    <row r="53" spans="1:13" ht="56.25">
      <c r="A53" s="238" t="str">
        <f>calc!A59</f>
        <v>Theta /Alpha EC  1.2 - 1.6</v>
      </c>
      <c r="B53" s="222">
        <f>calc!B46</f>
        <v>1.551839464882943</v>
      </c>
      <c r="C53" s="222">
        <f>calc!B59</f>
        <v>1.6432432432432431</v>
      </c>
      <c r="D53" s="265"/>
      <c r="E53" s="225" t="str">
        <f t="shared" si="2"/>
        <v>!</v>
      </c>
      <c r="F53" s="271" t="str">
        <f>IF((IF(calc!F59="x",calc!M59,(IF(calc!B59+calc!C59&lt;calc!I59,calc!L59,(IF(calc!B59+calc!C59&gt;calc!J59,calc!N59))))))=0,"",(IF(calc!F59="x",calc!M59,(IF(calc!B59+calc!C59&lt;calc!I59,calc!L59,(IF(calc!B59+calc!C59&gt;calc!J59,calc!N59)))))))</f>
        <v xml:space="preserve"> If &lt; 1.0, probe for frontal Alpha ADD - problems with organization, sequencing, sustained focus, planning, task completion, staying on task, talkativeness.  If &lt;&lt; .8 probe for fibromyalgia, chronic fatigue and sleep disturbance.</v>
      </c>
      <c r="G53" s="13"/>
      <c r="H53" s="56">
        <f>calc!O59</f>
        <v>1</v>
      </c>
      <c r="I53" s="14"/>
      <c r="J53" s="14"/>
      <c r="K53" s="12"/>
      <c r="L53" s="12"/>
      <c r="M53" s="12"/>
    </row>
    <row r="54" spans="1:13" ht="37.5">
      <c r="A54" s="238" t="str">
        <f>calc!A60</f>
        <v>Total Amplitude EC &lt; 60</v>
      </c>
      <c r="B54" s="222">
        <f>calc!B47</f>
        <v>11.48</v>
      </c>
      <c r="C54" s="222">
        <f>calc!B60</f>
        <v>14.25</v>
      </c>
      <c r="D54" s="265"/>
      <c r="E54" s="225" t="str">
        <f t="shared" si="2"/>
        <v/>
      </c>
      <c r="F54" s="271" t="str">
        <f>IF((IF(calc!F60="x",calc!M60,(IF(calc!B60+calc!C60&lt;calc!I60,calc!L60,(IF(calc!B60+calc!C60&gt;calc!J60,calc!N60))))))=0,"",(IF(calc!F60="x",calc!M60,(IF(calc!B60+calc!C60&lt;calc!I60,calc!L60,(IF(calc!B60+calc!C60&gt;calc!J60,calc!N60)))))))</f>
        <v>If &gt; 60, probe for development delays, autism spectrum disorder (especially if O1 Theta is high and the anterior cingulate gyrus is "hot"); memory / cognitive deficits in adults.</v>
      </c>
      <c r="G54" s="13"/>
      <c r="H54" s="56">
        <f>calc!O60</f>
        <v>0</v>
      </c>
      <c r="I54" s="14"/>
      <c r="J54" s="14"/>
      <c r="K54" s="12"/>
      <c r="L54" s="12"/>
      <c r="M54" s="12"/>
    </row>
    <row r="55" spans="1:13" ht="56.25">
      <c r="A55" s="238" t="str">
        <f>calc!A61</f>
        <v>F4 / F3 Beta &lt; ±15%</v>
      </c>
      <c r="B55" s="222">
        <f>calc!B41</f>
        <v>3.85</v>
      </c>
      <c r="C55" s="222">
        <f>calc!B54</f>
        <v>4.47</v>
      </c>
      <c r="D55" s="227">
        <f>calc!B61</f>
        <v>0.16103896103896095</v>
      </c>
      <c r="E55" s="225" t="str">
        <f t="shared" si="2"/>
        <v>!</v>
      </c>
      <c r="F55" s="271" t="str">
        <f>IF((IF(calc!F61="x",calc!M61,(IF(calc!B61+calc!C61&lt;calc!I61,calc!L61,(IF(calc!B61+calc!C61&gt;calc!J61,calc!N61))))))=0,"",(IF(calc!F61="x",calc!M61,(IF(calc!B61+calc!C61&lt;calc!I61,calc!L61,(IF(calc!B61+calc!C61&gt;calc!J61,calc!N61)))))))</f>
        <v>If F4 Beta 15% &gt; F3 Beta, probe for predisposition to depressed mood states in adults and impulse control in children.  If F4 Beta 20% &gt; F3 Beta and F4/F3 Theta &gt; 20% and F4 T/A 20% &lt; F3 T/A (particularly when O1 T/B &lt; 1.5), probe for fibromyalgia/chronic fatigue.</v>
      </c>
      <c r="G55" s="13"/>
      <c r="H55" s="56">
        <f>calc!O61</f>
        <v>1</v>
      </c>
      <c r="I55" s="14"/>
      <c r="J55" s="14"/>
      <c r="K55" s="12"/>
      <c r="L55" s="12"/>
      <c r="M55" s="12"/>
    </row>
    <row r="56" spans="1:13" ht="56.25">
      <c r="A56" s="238" t="str">
        <f>calc!A62</f>
        <v>F4 / F3 Alpha &lt; ±15%</v>
      </c>
      <c r="B56" s="222">
        <f>calc!B45</f>
        <v>2.99</v>
      </c>
      <c r="C56" s="222">
        <f>calc!B58</f>
        <v>3.7</v>
      </c>
      <c r="D56" s="227">
        <f>calc!B62</f>
        <v>0.23745819397993309</v>
      </c>
      <c r="E56" s="225" t="str">
        <f t="shared" si="2"/>
        <v>!</v>
      </c>
      <c r="F56" s="271" t="str">
        <f>IF((IF(calc!F62="x",calc!M62,(IF(calc!B62+calc!C62&lt;calc!I62,calc!L62,(IF(calc!B62+calc!C62&gt;calc!J62,calc!N62))))))=0,"",(IF(calc!F62="x",calc!M62,(IF(calc!B62+calc!C62&lt;calc!I62,calc!L62,(IF(calc!B62+calc!C62&gt;calc!J62,calc!N62)))))))</f>
        <v>If F3 Alpha &gt; F4 Alpha (negative %), probe for depression in adults and impulse control in children.  If F4 Alpha &gt; F3 Alpha, probe for oppositional, defiant and socially aggressive or socially indifferent behavior; general elevated Alpha associated with emotional disregulation.</v>
      </c>
      <c r="G56" s="13"/>
      <c r="H56" s="56">
        <f>calc!O62</f>
        <v>1</v>
      </c>
      <c r="I56" s="14"/>
      <c r="J56" s="14"/>
      <c r="K56" s="12"/>
      <c r="L56" s="12"/>
      <c r="M56" s="12"/>
    </row>
    <row r="57" spans="1:13" ht="37.5">
      <c r="A57" s="238" t="str">
        <f>calc!A63</f>
        <v>F4 / F3 Theta &lt; ±15%</v>
      </c>
      <c r="B57" s="222">
        <f>calc!B40</f>
        <v>4.6399999999999997</v>
      </c>
      <c r="C57" s="222">
        <f>calc!B53</f>
        <v>6.08</v>
      </c>
      <c r="D57" s="227">
        <f>calc!B63</f>
        <v>0.31034482758620702</v>
      </c>
      <c r="E57" s="225" t="str">
        <f t="shared" si="2"/>
        <v>!</v>
      </c>
      <c r="F57" s="271" t="str">
        <f>IF((IF(calc!F63="x",calc!M63,(IF(calc!B63+calc!C63&lt;calc!I63,calc!L63,(IF(calc!B63+calc!C63&gt;calc!J63,calc!N63))))))=0,"",(IF(calc!F63="x",calc!M63,(IF(calc!B63+calc!C63&lt;calc!I63,calc!L63,(IF(calc!B63+calc!C63&gt;calc!J63,calc!N63)))))))</f>
        <v>If F4 Theta 15% &gt; F3 Theta, probe for emotional volatility or conversely restricted emotional range. If F3 Theta 15% &gt; F4 Theta, probe for depression in adults &amp; impulse control in children.</v>
      </c>
      <c r="G57" s="13"/>
      <c r="H57" s="56">
        <f>calc!O63</f>
        <v>1</v>
      </c>
      <c r="I57" s="14"/>
      <c r="J57" s="14"/>
      <c r="K57" s="12"/>
      <c r="L57" s="12"/>
      <c r="M57" s="12"/>
    </row>
    <row r="58" spans="1:13" ht="15.95" customHeight="1">
      <c r="A58" s="240"/>
      <c r="B58" s="245"/>
      <c r="C58" s="245"/>
      <c r="D58" s="246"/>
      <c r="E58" s="235"/>
      <c r="F58" s="272"/>
      <c r="G58" s="13"/>
      <c r="H58" s="55"/>
      <c r="I58" s="14"/>
      <c r="J58" s="14"/>
      <c r="K58" s="12"/>
      <c r="L58" s="12"/>
      <c r="M58" s="12"/>
    </row>
    <row r="59" spans="1:13" ht="15.95" customHeight="1">
      <c r="A59" s="237" t="s">
        <v>23</v>
      </c>
      <c r="B59" s="217" t="s">
        <v>1</v>
      </c>
      <c r="C59" s="247"/>
      <c r="D59" s="234"/>
      <c r="E59" s="235"/>
      <c r="F59" s="266"/>
      <c r="G59" s="14"/>
      <c r="H59" s="28"/>
      <c r="I59" s="14"/>
      <c r="J59" s="14"/>
      <c r="K59" s="12"/>
      <c r="L59" s="12"/>
      <c r="M59" s="12"/>
    </row>
    <row r="60" spans="1:13" ht="56.25">
      <c r="A60" s="238" t="str">
        <f>calc!A66</f>
        <v xml:space="preserve">Delta 2 Hz EC &lt; 9.0 </v>
      </c>
      <c r="B60" s="222">
        <f>calc!B66</f>
        <v>5.7650000000000006</v>
      </c>
      <c r="C60" s="248"/>
      <c r="D60" s="234"/>
      <c r="E60" s="225" t="str">
        <f t="shared" ref="E60:E68" si="3">IF(H60=1,"!","")</f>
        <v/>
      </c>
      <c r="F60" s="271" t="str">
        <f>IF((IF(calc!F66="x",calc!M66,(IF(calc!B66+calc!C66&lt;calc!I66,calc!L66,(IF(calc!B66+calc!C66&gt;calc!J66,calc!N66))))))=0,"",(IF(calc!F66="x",calc!M66,(IF(calc!B66+calc!C66&lt;calc!I66,calc!L66,(IF(calc!B66+calc!C66&gt;calc!J66,calc!N66)))))))</f>
        <v>If Delta (2 Hz) EC &gt; 9.0 probe for cognitive deficits such as problems with concentration forgetfulness and comprehension, higher values can be associated with developmental delays and pain, will usually see remarkable patterns in F3 and F4 if Delta is high.</v>
      </c>
      <c r="G60" s="14"/>
      <c r="H60" s="56">
        <f>calc!O66</f>
        <v>0</v>
      </c>
      <c r="I60" s="14"/>
      <c r="J60" s="14"/>
      <c r="K60" s="12"/>
      <c r="L60" s="12"/>
      <c r="M60" s="12"/>
    </row>
    <row r="61" spans="1:13" ht="18.75">
      <c r="A61" s="238" t="str">
        <f>calc!A67</f>
        <v>HiBeta Amplitude</v>
      </c>
      <c r="B61" s="222">
        <f>calc!B67</f>
        <v>1.0950000000000002</v>
      </c>
      <c r="C61" s="248"/>
      <c r="D61" s="234"/>
      <c r="E61" s="225" t="str">
        <f t="shared" si="3"/>
        <v/>
      </c>
      <c r="F61" s="266" t="str">
        <f>IF((IF(calc!F67="x",calc!M67,(IF(calc!B67+calc!C67&lt;calc!I67,calc!L67,(IF(calc!B67+calc!C67&gt;calc!J67,calc!N67))))))=0,"",(IF(calc!F67="x",calc!M67,(IF(calc!B67+calc!C67&lt;calc!I67,calc!L67,(IF(calc!B67+calc!C67&gt;calc!J67,calc!N67)))))))</f>
        <v/>
      </c>
      <c r="G61" s="14"/>
      <c r="H61" s="56">
        <f>calc!O67</f>
        <v>0</v>
      </c>
      <c r="I61" s="14"/>
      <c r="J61" s="14"/>
      <c r="K61" s="12"/>
      <c r="L61" s="12"/>
      <c r="M61" s="12"/>
    </row>
    <row r="62" spans="1:13" ht="18.75">
      <c r="A62" s="238" t="str">
        <f>calc!A68</f>
        <v>Beta Amplitude</v>
      </c>
      <c r="B62" s="222">
        <f>calc!B68</f>
        <v>4.6349999999999998</v>
      </c>
      <c r="C62" s="248"/>
      <c r="D62" s="234"/>
      <c r="E62" s="225" t="str">
        <f t="shared" si="3"/>
        <v/>
      </c>
      <c r="F62" s="266" t="str">
        <f>IF((IF(calc!F68="x",calc!M68,(IF(calc!B68+calc!C68&lt;calc!I68,calc!L68,(IF(calc!B68+calc!C68&gt;calc!J68,calc!N68))))))=0,"",(IF(calc!F68="x",calc!M68,(IF(calc!B68+calc!C68&lt;calc!I68,calc!L68,(IF(calc!B68+calc!C68&gt;calc!J68,calc!N68)))))))</f>
        <v/>
      </c>
      <c r="G62" s="14"/>
      <c r="H62" s="56">
        <f>calc!O68</f>
        <v>0</v>
      </c>
      <c r="I62" s="14"/>
      <c r="J62" s="14"/>
      <c r="K62" s="12"/>
      <c r="L62" s="12"/>
      <c r="M62" s="12"/>
    </row>
    <row r="63" spans="1:13" ht="93.75">
      <c r="A63" s="238" t="str">
        <f>calc!A69</f>
        <v>HiBeta/Beta .45 -.55</v>
      </c>
      <c r="B63" s="222">
        <f>calc!B69</f>
        <v>0.23624595469255669</v>
      </c>
      <c r="C63" s="248"/>
      <c r="D63" s="234"/>
      <c r="E63" s="225" t="str">
        <f t="shared" si="3"/>
        <v>!</v>
      </c>
      <c r="F63" s="271" t="str">
        <f>IF((IF(calc!F69="x",calc!M69,(IF(calc!B69+calc!C69&lt;calc!I69,calc!L69,(IF(calc!B69+calc!C69&gt;calc!J69,calc!N69))))))=0,"",(IF(calc!F69="x",calc!M69,(IF(calc!B69+calc!C69&lt;calc!I69,calc!L69,(IF(calc!B69+calc!C69&gt;calc!J69,calc!N69)))))))</f>
        <v>If HiBeta/Beta &lt; .45, probe for excessive passiveness.  If &gt; .55, probe for stubborn behavior, OC tendencies or OCD, perseveration in autistic spectrum behaviors.  Assume hot midline (anterior cingulate gyrus) in treatment of autistic spectrum behaviors.  If &gt; .60 or &lt; .40, probe for anxiety; If &gt;.80, probe for O/C behaviors.   If &lt;.35, problematic passivity; .45 = open-minded and conciliatory. Caution! If there is an extremely elevated Beta amplitude, minimal ratio may result that does not indicate passive behavior.</v>
      </c>
      <c r="G63" s="14"/>
      <c r="H63" s="56">
        <f>calc!O69</f>
        <v>1</v>
      </c>
      <c r="I63" s="14"/>
      <c r="J63" s="14"/>
      <c r="K63" s="12"/>
      <c r="L63" s="12"/>
      <c r="M63" s="12"/>
    </row>
    <row r="64" spans="1:13" ht="75">
      <c r="A64" s="238" t="str">
        <f>calc!A70</f>
        <v>Sum HiBeta + Beta &lt; 15</v>
      </c>
      <c r="B64" s="222">
        <f>calc!B70</f>
        <v>5.73</v>
      </c>
      <c r="C64" s="249"/>
      <c r="D64" s="250"/>
      <c r="E64" s="225" t="str">
        <f t="shared" si="3"/>
        <v/>
      </c>
      <c r="F64" s="271" t="str">
        <f>IF((IF(calc!F70="x",calc!M70,(IF(calc!B70+calc!C70&lt;calc!I70,calc!L70,(IF(calc!B70+calc!C70&gt;calc!J70,calc!N70))))))=0,"",(IF(calc!F70="x",calc!M70,(IF(calc!B70+calc!C70&lt;calc!I70,calc!L70,(IF(calc!B70+calc!C70&gt;calc!J70,calc!N70)))))))</f>
        <v>If Sum HiBeta + Beta &gt; 15, probe for autistic spectrum behavior.   Implications of the 2 HiBeta values apply only if sum of amplitudes of 28-40 hz &amp; Beta &lt; 15. If summated amplitudes &gt; 15, but 28-40/Beta is within normative range, probe for fretting and assume hot midline in treatment of autistic spectrum behaviors.  When &lt; 15, clients reported less annoying thoughts: If &gt; 16, "hot" midline.</v>
      </c>
      <c r="G64" s="14"/>
      <c r="H64" s="56">
        <f>calc!O70</f>
        <v>0</v>
      </c>
      <c r="I64" s="14"/>
      <c r="J64" s="14"/>
      <c r="K64" s="12"/>
      <c r="L64" s="12"/>
      <c r="M64" s="12"/>
    </row>
    <row r="65" spans="1:13" ht="18.75">
      <c r="A65" s="238" t="str">
        <f>calc!A71</f>
        <v>LoAlpha Amplitude</v>
      </c>
      <c r="B65" s="222">
        <f>calc!B71</f>
        <v>5.91</v>
      </c>
      <c r="C65" s="248"/>
      <c r="D65" s="234"/>
      <c r="E65" s="225" t="str">
        <f t="shared" si="3"/>
        <v/>
      </c>
      <c r="F65" s="266" t="str">
        <f>IF((IF(calc!F71="x",calc!M71,(IF(calc!B71+calc!C71&lt;calc!I71,calc!L71,(IF(calc!B71+calc!C71&gt;calc!J71,calc!N71))))))=0,"",(IF(calc!F71="x",calc!M71,(IF(calc!B71+calc!C71&lt;calc!I71,calc!L71,(IF(calc!B71+calc!C71&gt;calc!J71,calc!N71)))))))</f>
        <v/>
      </c>
      <c r="G65" s="14"/>
      <c r="H65" s="56">
        <f>calc!O71</f>
        <v>0</v>
      </c>
      <c r="I65" s="14"/>
      <c r="J65" s="14"/>
      <c r="K65" s="12"/>
      <c r="L65" s="12"/>
      <c r="M65" s="12"/>
    </row>
    <row r="66" spans="1:13" ht="18.75">
      <c r="A66" s="238" t="str">
        <f>calc!A72</f>
        <v>HiAlpha Amplitude</v>
      </c>
      <c r="B66" s="222">
        <f>calc!B72</f>
        <v>2.2749999999999999</v>
      </c>
      <c r="C66" s="248"/>
      <c r="D66" s="234"/>
      <c r="E66" s="225" t="str">
        <f t="shared" si="3"/>
        <v/>
      </c>
      <c r="F66" s="266" t="str">
        <f>IF((IF(calc!F72="x",calc!M72,(IF(calc!B72+calc!C72&lt;calc!I72,calc!L72,(IF(calc!B72+calc!C72&gt;calc!J72,calc!N72))))))=0,"",(IF(calc!F72="x",calc!M72,(IF(calc!B72+calc!C72&lt;calc!I72,calc!L72,(IF(calc!B72+calc!C72&gt;calc!J72,calc!N72)))))))</f>
        <v/>
      </c>
      <c r="G66" s="14"/>
      <c r="H66" s="56">
        <f>calc!O72</f>
        <v>0</v>
      </c>
      <c r="I66" s="14"/>
      <c r="J66" s="14"/>
      <c r="K66" s="12"/>
      <c r="L66" s="12"/>
      <c r="M66" s="12"/>
    </row>
    <row r="67" spans="1:13" ht="80.25" customHeight="1">
      <c r="A67" s="238" t="str">
        <f>calc!A73</f>
        <v>LoAlpha/HiAlpha &lt; 1.5</v>
      </c>
      <c r="B67" s="222">
        <f>calc!B73</f>
        <v>2.5978021978021979</v>
      </c>
      <c r="C67" s="248"/>
      <c r="D67" s="234"/>
      <c r="E67" s="225" t="str">
        <f t="shared" si="3"/>
        <v>!</v>
      </c>
      <c r="F67" s="271" t="str">
        <f>IF((IF(calc!F73="x",calc!M73,(IF(calc!B73+calc!C73&lt;calc!I73,calc!L73,(IF(calc!B73+calc!C73&gt;calc!J73,calc!N73))))))=0,"",(IF(calc!F73="x",calc!M73,(IF(calc!B73+calc!C73&lt;calc!I73,calc!L73,(IF(calc!B73+calc!C73&gt;calc!J73,calc!N73)))))))</f>
        <v>If &gt; 1.5, probe for cognitive inefficiency, age related deficits in memory and cognitive processing, sleep disorders, cognitive processing disorders, problems  with concentration and forgetfulness.  M63If &gt;&gt; 1.5, probe for developmental delay, marked cognitive deficits; the lower this ratio, the better, as it reflects more efficient brain functioning.</v>
      </c>
      <c r="G67" s="14"/>
      <c r="H67" s="56">
        <f>calc!O73</f>
        <v>1</v>
      </c>
      <c r="I67" s="14"/>
      <c r="J67" s="14"/>
      <c r="K67" s="12"/>
      <c r="L67" s="12"/>
      <c r="M67" s="12"/>
    </row>
    <row r="68" spans="1:13" ht="18.75">
      <c r="A68" s="238" t="str">
        <f>calc!A74</f>
        <v>Alpha Peak Frequency EC</v>
      </c>
      <c r="B68" s="222">
        <f>calc!B74</f>
        <v>10.55</v>
      </c>
      <c r="C68" s="251"/>
      <c r="D68" s="252"/>
      <c r="E68" s="225" t="str">
        <f t="shared" si="3"/>
        <v/>
      </c>
      <c r="F68" s="266" t="str">
        <f>IF((IF(calc!F74="x",calc!M74,(IF(calc!B74+calc!C74&lt;calc!I74,calc!L74,(IF(calc!B74+calc!C74&gt;calc!J74,calc!N74))))))=0,"",(IF(calc!F74="x",calc!M74,(IF(calc!B74+calc!C74&lt;calc!I74,calc!L74,(IF(calc!B74+calc!C74&gt;calc!J74,calc!N74)))))))</f>
        <v>(This statistic is currently being used for research purposes)</v>
      </c>
      <c r="G68" s="15"/>
      <c r="H68" s="56">
        <f>calc!O74</f>
        <v>0</v>
      </c>
      <c r="I68" s="15"/>
      <c r="J68" s="15"/>
      <c r="K68" s="12"/>
      <c r="L68" s="12"/>
      <c r="M68" s="12"/>
    </row>
    <row r="69" spans="1:13" ht="18.75">
      <c r="A69" s="207"/>
      <c r="B69" s="207"/>
      <c r="C69" s="207"/>
      <c r="D69" s="207"/>
      <c r="E69" s="253"/>
      <c r="F69" s="254"/>
      <c r="G69" s="14"/>
      <c r="H69" s="28"/>
      <c r="I69" s="14"/>
      <c r="J69" s="14"/>
      <c r="K69" s="12"/>
      <c r="L69" s="12"/>
      <c r="M69" s="12"/>
    </row>
    <row r="70" spans="1:13" ht="18.75" hidden="1">
      <c r="A70" s="82"/>
      <c r="B70" s="82"/>
      <c r="C70" s="82"/>
      <c r="D70" s="82"/>
      <c r="E70" s="169"/>
      <c r="F70" s="193"/>
      <c r="G70" s="82"/>
      <c r="H70" s="83"/>
      <c r="I70" s="82"/>
      <c r="J70" s="82"/>
      <c r="K70" s="82"/>
    </row>
    <row r="71" spans="1:13" s="262" customFormat="1" ht="21">
      <c r="A71" s="269"/>
      <c r="B71" s="259"/>
      <c r="C71" s="259"/>
      <c r="D71" s="259"/>
      <c r="E71" s="260"/>
      <c r="F71" s="270"/>
      <c r="G71" s="259"/>
      <c r="H71" s="261"/>
      <c r="I71" s="259"/>
      <c r="J71" s="259"/>
      <c r="K71" s="259"/>
    </row>
    <row r="72" spans="1:13" ht="15.95" customHeight="1">
      <c r="A72" s="82"/>
      <c r="B72" s="82"/>
      <c r="C72" s="82"/>
      <c r="D72" s="82"/>
      <c r="E72" s="169"/>
      <c r="F72" s="258"/>
      <c r="G72" s="82"/>
      <c r="H72" s="83"/>
      <c r="I72" s="82"/>
      <c r="J72" s="82"/>
      <c r="K72" s="82"/>
    </row>
    <row r="73" spans="1:13" ht="15.95" customHeight="1">
      <c r="A73" s="82"/>
      <c r="B73" s="82"/>
      <c r="C73" s="82"/>
      <c r="D73" s="82"/>
      <c r="E73" s="169"/>
      <c r="F73" s="255"/>
      <c r="G73" s="82"/>
      <c r="H73" s="83"/>
      <c r="I73" s="82"/>
      <c r="J73" s="82"/>
      <c r="K73" s="82"/>
    </row>
    <row r="74" spans="1:13" ht="15.95" customHeight="1">
      <c r="A74" s="82"/>
      <c r="B74" s="82"/>
      <c r="C74" s="82"/>
      <c r="D74" s="82"/>
      <c r="E74" s="169"/>
      <c r="F74" s="255"/>
      <c r="G74" s="82"/>
      <c r="H74" s="83"/>
      <c r="I74" s="82"/>
      <c r="J74" s="82"/>
      <c r="K74" s="82"/>
    </row>
    <row r="75" spans="1:13" ht="15.95" customHeight="1">
      <c r="A75" s="82"/>
      <c r="B75" s="82"/>
      <c r="C75" s="82"/>
      <c r="D75" s="82"/>
      <c r="E75" s="169"/>
      <c r="F75" s="256"/>
      <c r="G75" s="82"/>
      <c r="H75" s="83"/>
      <c r="I75" s="82"/>
      <c r="J75" s="82"/>
      <c r="K75" s="82"/>
    </row>
    <row r="76" spans="1:13" ht="18.75">
      <c r="A76" s="278"/>
      <c r="B76" s="82"/>
      <c r="C76" s="82"/>
      <c r="D76" s="82"/>
      <c r="E76" s="169"/>
      <c r="F76" s="256"/>
      <c r="G76" s="82"/>
      <c r="H76" s="83"/>
      <c r="I76" s="82"/>
      <c r="J76" s="82"/>
      <c r="K76" s="82"/>
    </row>
    <row r="77" spans="1:13" ht="18.75">
      <c r="A77" s="278"/>
      <c r="B77" s="82"/>
      <c r="C77" s="82"/>
      <c r="D77" s="82"/>
      <c r="E77" s="169"/>
      <c r="F77" s="256"/>
      <c r="G77" s="82"/>
      <c r="H77" s="83"/>
      <c r="I77" s="82"/>
      <c r="J77" s="82"/>
      <c r="K77" s="82"/>
    </row>
    <row r="78" spans="1:13" ht="18.75">
      <c r="A78" s="278"/>
      <c r="B78" s="82"/>
      <c r="C78" s="82"/>
      <c r="D78" s="82"/>
      <c r="E78" s="169"/>
      <c r="F78" s="256"/>
      <c r="G78" s="82"/>
      <c r="H78" s="83"/>
      <c r="I78" s="82"/>
      <c r="J78" s="82"/>
      <c r="K78" s="82"/>
    </row>
    <row r="79" spans="1:13" ht="18.75">
      <c r="A79" s="278"/>
      <c r="B79" s="82"/>
      <c r="C79" s="82"/>
      <c r="D79" s="82"/>
      <c r="E79" s="169"/>
      <c r="F79" s="256"/>
      <c r="G79" s="82"/>
      <c r="H79" s="83"/>
      <c r="I79" s="82"/>
      <c r="J79" s="82"/>
      <c r="K79" s="82"/>
    </row>
    <row r="80" spans="1:13" ht="18.75">
      <c r="A80" s="278"/>
      <c r="B80" s="82"/>
      <c r="C80" s="82"/>
      <c r="D80" s="82"/>
      <c r="E80" s="169"/>
      <c r="F80" s="256"/>
      <c r="G80" s="82"/>
      <c r="H80" s="83"/>
      <c r="I80" s="82"/>
      <c r="J80" s="82"/>
      <c r="K80" s="82"/>
    </row>
    <row r="81" spans="1:11" ht="18.75">
      <c r="A81" s="278"/>
      <c r="B81" s="82"/>
      <c r="C81" s="82"/>
      <c r="D81" s="82"/>
      <c r="E81" s="169"/>
      <c r="F81" s="256"/>
      <c r="G81" s="82"/>
      <c r="H81" s="83"/>
      <c r="I81" s="82"/>
      <c r="J81" s="82"/>
      <c r="K81" s="82"/>
    </row>
    <row r="82" spans="1:11" ht="18.75">
      <c r="A82" s="278"/>
      <c r="B82" s="82"/>
      <c r="C82" s="82"/>
      <c r="D82" s="82"/>
      <c r="E82" s="169"/>
      <c r="F82" s="256"/>
      <c r="G82" s="82"/>
      <c r="H82" s="83"/>
      <c r="I82" s="82"/>
      <c r="J82" s="82"/>
      <c r="K82" s="82"/>
    </row>
    <row r="83" spans="1:11" ht="18.75">
      <c r="A83" s="278"/>
      <c r="B83" s="82"/>
      <c r="C83" s="82"/>
      <c r="D83" s="82"/>
      <c r="E83" s="169"/>
      <c r="F83" s="256"/>
      <c r="G83" s="82"/>
      <c r="H83" s="83"/>
      <c r="I83" s="82"/>
      <c r="J83" s="82"/>
      <c r="K83" s="82"/>
    </row>
    <row r="84" spans="1:11" ht="18.75">
      <c r="A84" s="278"/>
      <c r="B84" s="82"/>
      <c r="C84" s="82"/>
      <c r="D84" s="82"/>
      <c r="E84" s="169"/>
      <c r="F84" s="256"/>
      <c r="G84" s="82"/>
      <c r="H84" s="83"/>
      <c r="I84" s="82"/>
      <c r="J84" s="82"/>
      <c r="K84" s="82"/>
    </row>
    <row r="85" spans="1:11" ht="18.75">
      <c r="A85" s="278"/>
      <c r="B85" s="82"/>
      <c r="C85" s="82"/>
      <c r="D85" s="82"/>
      <c r="E85" s="169"/>
      <c r="F85" s="256"/>
      <c r="G85" s="82"/>
      <c r="H85" s="83"/>
      <c r="I85" s="82"/>
      <c r="J85" s="82"/>
      <c r="K85" s="82"/>
    </row>
    <row r="86" spans="1:11" ht="18.75">
      <c r="A86" s="278"/>
      <c r="B86" s="82"/>
      <c r="C86" s="82"/>
      <c r="D86" s="82"/>
      <c r="E86" s="169"/>
      <c r="F86" s="256"/>
      <c r="G86" s="82"/>
      <c r="H86" s="83"/>
      <c r="I86" s="82"/>
      <c r="J86" s="82"/>
      <c r="K86" s="82"/>
    </row>
    <row r="87" spans="1:11" ht="18.75">
      <c r="A87" s="278"/>
      <c r="B87" s="82"/>
      <c r="C87" s="82"/>
      <c r="D87" s="82"/>
      <c r="E87" s="169"/>
      <c r="F87" s="256"/>
      <c r="G87" s="82"/>
      <c r="H87" s="83"/>
      <c r="I87" s="82"/>
      <c r="J87" s="82"/>
      <c r="K87" s="82"/>
    </row>
    <row r="88" spans="1:11" ht="18.75">
      <c r="A88" s="278"/>
      <c r="B88" s="82"/>
      <c r="C88" s="82"/>
      <c r="D88" s="82"/>
      <c r="E88" s="169"/>
      <c r="F88" s="256"/>
      <c r="G88" s="82"/>
      <c r="H88" s="83"/>
      <c r="I88" s="82"/>
      <c r="J88" s="82"/>
      <c r="K88" s="82"/>
    </row>
    <row r="89" spans="1:11" ht="18.75">
      <c r="A89" s="82"/>
      <c r="B89" s="82"/>
      <c r="C89" s="82"/>
      <c r="D89" s="82"/>
      <c r="E89" s="169"/>
      <c r="F89" s="256"/>
      <c r="G89" s="82"/>
      <c r="H89" s="83"/>
      <c r="I89" s="82"/>
      <c r="J89" s="82"/>
      <c r="K89" s="82"/>
    </row>
    <row r="90" spans="1:11" ht="18.75">
      <c r="A90" s="82"/>
      <c r="B90" s="82"/>
      <c r="C90" s="82"/>
      <c r="D90" s="82"/>
      <c r="E90" s="169"/>
      <c r="F90" s="256"/>
      <c r="G90" s="82"/>
      <c r="H90" s="83"/>
      <c r="I90" s="82"/>
      <c r="J90" s="82"/>
      <c r="K90" s="82"/>
    </row>
    <row r="91" spans="1:11" ht="18.75">
      <c r="A91" s="82"/>
      <c r="B91" s="82"/>
      <c r="C91" s="82"/>
      <c r="D91" s="82"/>
      <c r="E91" s="169"/>
      <c r="F91" s="256"/>
      <c r="G91" s="82"/>
      <c r="H91" s="83"/>
      <c r="I91" s="82"/>
      <c r="J91" s="82"/>
      <c r="K91" s="82"/>
    </row>
    <row r="92" spans="1:11" ht="18.75">
      <c r="A92" s="82"/>
      <c r="B92" s="82"/>
      <c r="C92" s="82"/>
      <c r="D92" s="82"/>
      <c r="E92" s="169"/>
      <c r="F92" s="256"/>
      <c r="G92" s="82"/>
      <c r="H92" s="83"/>
      <c r="I92" s="82"/>
      <c r="J92" s="82"/>
      <c r="K92" s="82"/>
    </row>
    <row r="93" spans="1:11" ht="18.75">
      <c r="A93" s="82"/>
      <c r="B93" s="82"/>
      <c r="C93" s="82"/>
      <c r="D93" s="82"/>
      <c r="E93" s="169"/>
      <c r="F93" s="256"/>
      <c r="G93" s="82"/>
      <c r="H93" s="83"/>
      <c r="I93" s="82"/>
      <c r="J93" s="82"/>
      <c r="K93" s="82"/>
    </row>
    <row r="94" spans="1:11" ht="18.75">
      <c r="A94" s="82"/>
      <c r="B94" s="82"/>
      <c r="C94" s="82"/>
      <c r="D94" s="82"/>
      <c r="E94" s="169"/>
      <c r="F94" s="256"/>
      <c r="G94" s="82"/>
      <c r="H94" s="83"/>
      <c r="I94" s="82"/>
      <c r="J94" s="82"/>
      <c r="K94" s="82"/>
    </row>
    <row r="95" spans="1:11" ht="18.75">
      <c r="A95" s="82"/>
      <c r="B95" s="82"/>
      <c r="C95" s="82"/>
      <c r="D95" s="82"/>
      <c r="E95" s="169"/>
      <c r="F95" s="256"/>
      <c r="G95" s="82"/>
      <c r="H95" s="83"/>
      <c r="I95" s="82"/>
      <c r="J95" s="82"/>
      <c r="K95" s="82"/>
    </row>
    <row r="96" spans="1:11" ht="18.75">
      <c r="A96" s="82"/>
      <c r="B96" s="82"/>
      <c r="C96" s="82"/>
      <c r="D96" s="82"/>
      <c r="E96" s="169"/>
      <c r="F96" s="256"/>
      <c r="G96" s="82"/>
      <c r="H96" s="83"/>
      <c r="I96" s="82"/>
      <c r="J96" s="82"/>
      <c r="K96" s="82"/>
    </row>
    <row r="97" spans="1:11" ht="18.75">
      <c r="A97" s="82"/>
      <c r="B97" s="82"/>
      <c r="C97" s="82"/>
      <c r="D97" s="82"/>
      <c r="E97" s="169"/>
      <c r="F97" s="256"/>
      <c r="G97" s="82"/>
      <c r="H97" s="83"/>
      <c r="I97" s="82"/>
      <c r="J97" s="82"/>
      <c r="K97" s="82"/>
    </row>
    <row r="98" spans="1:11" ht="18.75">
      <c r="A98" s="82"/>
      <c r="B98" s="82"/>
      <c r="C98" s="82"/>
      <c r="D98" s="82"/>
      <c r="E98" s="169"/>
      <c r="F98" s="256"/>
      <c r="G98" s="82"/>
      <c r="H98" s="83"/>
      <c r="I98" s="82"/>
      <c r="J98" s="82"/>
      <c r="K98" s="82"/>
    </row>
    <row r="99" spans="1:11" ht="18.75">
      <c r="A99" s="82"/>
      <c r="B99" s="82"/>
      <c r="C99" s="82"/>
      <c r="D99" s="82"/>
      <c r="E99" s="169"/>
      <c r="F99" s="256"/>
      <c r="G99" s="82"/>
      <c r="H99" s="83"/>
      <c r="I99" s="82"/>
      <c r="J99" s="82"/>
      <c r="K99" s="82"/>
    </row>
    <row r="100" spans="1:11" ht="18.75">
      <c r="A100" s="82"/>
      <c r="B100" s="82"/>
      <c r="C100" s="82"/>
      <c r="D100" s="82"/>
      <c r="E100" s="169"/>
      <c r="F100" s="256"/>
      <c r="G100" s="82"/>
      <c r="H100" s="83"/>
      <c r="I100" s="82"/>
      <c r="J100" s="82"/>
      <c r="K100" s="82"/>
    </row>
    <row r="101" spans="1:11" ht="18.75">
      <c r="A101" s="82"/>
      <c r="B101" s="82"/>
      <c r="C101" s="82"/>
      <c r="D101" s="82"/>
      <c r="E101" s="169"/>
      <c r="F101" s="256"/>
      <c r="G101" s="82"/>
      <c r="H101" s="83"/>
      <c r="I101" s="82"/>
      <c r="J101" s="82"/>
      <c r="K101" s="82"/>
    </row>
    <row r="102" spans="1:11" ht="18.75">
      <c r="A102" s="82"/>
      <c r="B102" s="82"/>
      <c r="C102" s="82"/>
      <c r="D102" s="82"/>
      <c r="E102" s="169"/>
      <c r="F102" s="256"/>
      <c r="G102" s="82"/>
      <c r="H102" s="83"/>
      <c r="I102" s="82"/>
      <c r="J102" s="82"/>
      <c r="K102" s="82"/>
    </row>
    <row r="103" spans="1:11" ht="18.75">
      <c r="A103" s="82"/>
      <c r="B103" s="82"/>
      <c r="C103" s="82"/>
      <c r="D103" s="82"/>
      <c r="E103" s="169"/>
      <c r="F103" s="256"/>
      <c r="G103" s="82"/>
      <c r="H103" s="83"/>
      <c r="I103" s="82"/>
      <c r="J103" s="82"/>
      <c r="K103" s="82"/>
    </row>
    <row r="104" spans="1:11" ht="18.75">
      <c r="A104" s="82"/>
      <c r="B104" s="82"/>
      <c r="C104" s="82"/>
      <c r="D104" s="82"/>
      <c r="E104" s="169"/>
      <c r="F104" s="256"/>
      <c r="G104" s="82"/>
      <c r="H104" s="83"/>
      <c r="I104" s="82"/>
      <c r="J104" s="82"/>
      <c r="K104" s="82"/>
    </row>
    <row r="105" spans="1:11" ht="18.75">
      <c r="A105" s="82"/>
      <c r="B105" s="82"/>
      <c r="C105" s="82"/>
      <c r="D105" s="82"/>
      <c r="E105" s="169"/>
      <c r="F105" s="256"/>
      <c r="G105" s="82"/>
      <c r="H105" s="83"/>
      <c r="I105" s="82"/>
      <c r="J105" s="82"/>
      <c r="K105" s="82"/>
    </row>
    <row r="106" spans="1:11" ht="18.75">
      <c r="A106" s="82"/>
      <c r="B106" s="82"/>
      <c r="C106" s="82"/>
      <c r="D106" s="82"/>
      <c r="E106" s="169"/>
      <c r="F106" s="256"/>
      <c r="G106" s="82"/>
      <c r="H106" s="83"/>
      <c r="I106" s="82"/>
      <c r="J106" s="82"/>
      <c r="K106" s="82"/>
    </row>
    <row r="107" spans="1:11" ht="18.75">
      <c r="A107" s="82"/>
      <c r="B107" s="82"/>
      <c r="C107" s="82"/>
      <c r="D107" s="82"/>
      <c r="E107" s="169"/>
      <c r="F107" s="256"/>
      <c r="G107" s="82"/>
      <c r="H107" s="83"/>
      <c r="I107" s="82"/>
      <c r="J107" s="82"/>
      <c r="K107" s="82"/>
    </row>
    <row r="108" spans="1:11" ht="18.75">
      <c r="A108" s="82"/>
      <c r="B108" s="82"/>
      <c r="C108" s="82"/>
      <c r="D108" s="82"/>
      <c r="E108" s="169"/>
      <c r="F108" s="256"/>
      <c r="G108" s="82"/>
      <c r="H108" s="83"/>
      <c r="I108" s="82"/>
      <c r="J108" s="82"/>
      <c r="K108" s="82"/>
    </row>
    <row r="109" spans="1:11" ht="18.75">
      <c r="A109" s="82"/>
      <c r="B109" s="82"/>
      <c r="C109" s="82"/>
      <c r="D109" s="82"/>
      <c r="E109" s="169"/>
      <c r="F109" s="256"/>
      <c r="G109" s="82"/>
      <c r="H109" s="83"/>
      <c r="I109" s="82"/>
      <c r="J109" s="82"/>
      <c r="K109" s="82"/>
    </row>
    <row r="110" spans="1:11" ht="18.75">
      <c r="A110" s="82"/>
      <c r="B110" s="82"/>
      <c r="C110" s="82"/>
      <c r="D110" s="82"/>
      <c r="E110" s="169"/>
      <c r="F110" s="256"/>
      <c r="G110" s="82"/>
      <c r="H110" s="83"/>
      <c r="I110" s="82"/>
      <c r="J110" s="82"/>
      <c r="K110" s="82"/>
    </row>
    <row r="111" spans="1:11" ht="18.75">
      <c r="A111" s="82"/>
      <c r="B111" s="82"/>
      <c r="C111" s="82"/>
      <c r="D111" s="82"/>
      <c r="E111" s="169"/>
      <c r="F111" s="256"/>
      <c r="G111" s="82"/>
      <c r="H111" s="83"/>
      <c r="I111" s="82"/>
      <c r="J111" s="82"/>
      <c r="K111" s="82"/>
    </row>
    <row r="112" spans="1:11" ht="18.75">
      <c r="A112" s="82"/>
      <c r="B112" s="82"/>
      <c r="C112" s="82"/>
      <c r="D112" s="82"/>
      <c r="E112" s="169"/>
      <c r="F112" s="256"/>
      <c r="G112" s="82"/>
      <c r="H112" s="83"/>
      <c r="I112" s="82"/>
      <c r="J112" s="82"/>
      <c r="K112" s="82"/>
    </row>
    <row r="113" spans="1:11" ht="18.75">
      <c r="A113" s="82"/>
      <c r="B113" s="82"/>
      <c r="C113" s="82"/>
      <c r="D113" s="82"/>
      <c r="E113" s="169"/>
      <c r="F113" s="256"/>
      <c r="G113" s="82"/>
      <c r="H113" s="83"/>
      <c r="I113" s="82"/>
      <c r="J113" s="82"/>
      <c r="K113" s="82"/>
    </row>
    <row r="114" spans="1:11" ht="18.75">
      <c r="A114" s="82"/>
      <c r="B114" s="82"/>
      <c r="C114" s="82"/>
      <c r="D114" s="82"/>
      <c r="E114" s="169"/>
      <c r="F114" s="256"/>
      <c r="G114" s="82"/>
      <c r="H114" s="83"/>
      <c r="I114" s="82"/>
      <c r="J114" s="82"/>
      <c r="K114" s="82"/>
    </row>
    <row r="115" spans="1:11" ht="18.75">
      <c r="A115" s="82"/>
      <c r="B115" s="82"/>
      <c r="C115" s="82"/>
      <c r="D115" s="82"/>
      <c r="E115" s="169"/>
      <c r="F115" s="256"/>
      <c r="G115" s="82"/>
      <c r="H115" s="83"/>
      <c r="I115" s="82"/>
      <c r="J115" s="82"/>
      <c r="K115" s="82"/>
    </row>
    <row r="116" spans="1:11" ht="18.75">
      <c r="A116" s="82"/>
      <c r="B116" s="82"/>
      <c r="C116" s="82"/>
      <c r="D116" s="82"/>
      <c r="E116" s="169"/>
      <c r="F116" s="256"/>
      <c r="G116" s="82"/>
      <c r="H116" s="83"/>
      <c r="I116" s="82"/>
      <c r="J116" s="82"/>
      <c r="K116" s="82"/>
    </row>
    <row r="117" spans="1:11" ht="18.75">
      <c r="A117" s="82"/>
      <c r="B117" s="82"/>
      <c r="C117" s="82"/>
      <c r="D117" s="82"/>
      <c r="E117" s="169"/>
      <c r="F117" s="256"/>
      <c r="G117" s="82"/>
      <c r="H117" s="83"/>
      <c r="I117" s="82"/>
      <c r="J117" s="82"/>
      <c r="K117" s="82"/>
    </row>
    <row r="118" spans="1:11" ht="18.75">
      <c r="A118" s="82"/>
      <c r="B118" s="82"/>
      <c r="C118" s="82"/>
      <c r="D118" s="82"/>
      <c r="E118" s="169"/>
      <c r="F118" s="256"/>
      <c r="G118" s="82"/>
      <c r="H118" s="83"/>
      <c r="I118" s="82"/>
      <c r="J118" s="82"/>
      <c r="K118" s="82"/>
    </row>
    <row r="119" spans="1:11" ht="18.75">
      <c r="A119" s="82"/>
      <c r="B119" s="82"/>
      <c r="C119" s="82"/>
      <c r="D119" s="82"/>
      <c r="E119" s="169"/>
      <c r="F119" s="256"/>
      <c r="G119" s="82"/>
      <c r="H119" s="83"/>
      <c r="I119" s="82"/>
      <c r="J119" s="82"/>
      <c r="K119" s="82"/>
    </row>
    <row r="120" spans="1:11" ht="18.75">
      <c r="A120" s="82"/>
      <c r="B120" s="82"/>
      <c r="C120" s="82"/>
      <c r="D120" s="82"/>
      <c r="E120" s="169"/>
      <c r="F120" s="256"/>
      <c r="G120" s="82"/>
      <c r="H120" s="83"/>
      <c r="I120" s="82"/>
      <c r="J120" s="82"/>
      <c r="K120" s="82"/>
    </row>
    <row r="121" spans="1:11" ht="18.75">
      <c r="A121" s="82"/>
      <c r="B121" s="82"/>
      <c r="C121" s="82"/>
      <c r="D121" s="82"/>
      <c r="E121" s="169"/>
      <c r="F121" s="256"/>
      <c r="G121" s="82"/>
      <c r="H121" s="83"/>
      <c r="I121" s="82"/>
      <c r="J121" s="82"/>
      <c r="K121" s="82"/>
    </row>
    <row r="122" spans="1:11" ht="18.75">
      <c r="A122" s="82"/>
      <c r="B122" s="82"/>
      <c r="C122" s="82"/>
      <c r="D122" s="82"/>
      <c r="E122" s="169"/>
      <c r="F122" s="256"/>
      <c r="G122" s="82"/>
      <c r="H122" s="83"/>
      <c r="I122" s="82"/>
      <c r="J122" s="82"/>
      <c r="K122" s="82"/>
    </row>
    <row r="123" spans="1:11" ht="18.75">
      <c r="A123" s="82"/>
      <c r="B123" s="82"/>
      <c r="C123" s="82"/>
      <c r="D123" s="82"/>
      <c r="E123" s="169"/>
      <c r="F123" s="256"/>
      <c r="G123" s="82"/>
      <c r="H123" s="83"/>
      <c r="I123" s="82"/>
      <c r="J123" s="82"/>
      <c r="K123" s="82"/>
    </row>
    <row r="124" spans="1:11" ht="18.75">
      <c r="A124" s="82"/>
      <c r="B124" s="82"/>
      <c r="C124" s="82"/>
      <c r="D124" s="82"/>
      <c r="E124" s="169"/>
      <c r="F124" s="256"/>
      <c r="G124" s="82"/>
      <c r="H124" s="83"/>
      <c r="I124" s="82"/>
      <c r="J124" s="82"/>
      <c r="K124" s="82"/>
    </row>
    <row r="125" spans="1:11" ht="18.75">
      <c r="A125" s="82"/>
      <c r="B125" s="82"/>
      <c r="C125" s="82"/>
      <c r="D125" s="82"/>
      <c r="E125" s="169"/>
      <c r="F125" s="256"/>
      <c r="G125" s="82"/>
      <c r="H125" s="83"/>
      <c r="I125" s="82"/>
      <c r="J125" s="82"/>
      <c r="K125" s="82"/>
    </row>
    <row r="126" spans="1:11" ht="18.75">
      <c r="A126" s="82"/>
      <c r="B126" s="82"/>
      <c r="C126" s="82"/>
      <c r="D126" s="82"/>
      <c r="E126" s="169"/>
      <c r="F126" s="256"/>
      <c r="G126" s="82"/>
      <c r="H126" s="83"/>
      <c r="I126" s="82"/>
      <c r="J126" s="82"/>
      <c r="K126" s="82"/>
    </row>
    <row r="127" spans="1:11" ht="18.75">
      <c r="A127" s="82"/>
      <c r="B127" s="82"/>
      <c r="C127" s="82"/>
      <c r="D127" s="82"/>
      <c r="E127" s="169"/>
      <c r="F127" s="256"/>
      <c r="G127" s="82"/>
      <c r="H127" s="83"/>
      <c r="I127" s="82"/>
      <c r="J127" s="82"/>
      <c r="K127" s="82"/>
    </row>
    <row r="128" spans="1:11" ht="18.75">
      <c r="A128" s="82"/>
      <c r="B128" s="82"/>
      <c r="C128" s="82"/>
      <c r="D128" s="82"/>
      <c r="E128" s="169"/>
      <c r="F128" s="256"/>
      <c r="G128" s="82"/>
      <c r="H128" s="83"/>
      <c r="I128" s="82"/>
      <c r="J128" s="82"/>
      <c r="K128" s="82"/>
    </row>
    <row r="129" spans="1:11" ht="18.75">
      <c r="A129" s="82"/>
      <c r="B129" s="82"/>
      <c r="C129" s="82"/>
      <c r="D129" s="82"/>
      <c r="E129" s="169"/>
      <c r="F129" s="256"/>
      <c r="G129" s="82"/>
      <c r="H129" s="83"/>
      <c r="I129" s="82"/>
      <c r="J129" s="82"/>
      <c r="K129" s="82"/>
    </row>
    <row r="130" spans="1:11" ht="18.75">
      <c r="A130" s="82"/>
      <c r="B130" s="82"/>
      <c r="C130" s="82"/>
      <c r="D130" s="82"/>
      <c r="E130" s="169"/>
      <c r="F130" s="256"/>
      <c r="G130" s="82"/>
      <c r="H130" s="83"/>
      <c r="I130" s="82"/>
      <c r="J130" s="82"/>
      <c r="K130" s="82"/>
    </row>
    <row r="131" spans="1:11" ht="18.75">
      <c r="A131" s="82"/>
      <c r="B131" s="82"/>
      <c r="C131" s="82"/>
      <c r="D131" s="82"/>
      <c r="E131" s="169"/>
      <c r="F131" s="256"/>
      <c r="G131" s="82"/>
      <c r="H131" s="83"/>
      <c r="I131" s="82"/>
      <c r="J131" s="82"/>
      <c r="K131" s="82"/>
    </row>
    <row r="132" spans="1:11" ht="18.75">
      <c r="A132" s="82"/>
      <c r="B132" s="82"/>
      <c r="C132" s="82"/>
      <c r="D132" s="82"/>
      <c r="E132" s="169"/>
      <c r="F132" s="256"/>
      <c r="G132" s="82"/>
      <c r="H132" s="83"/>
      <c r="I132" s="82"/>
      <c r="J132" s="82"/>
      <c r="K132" s="82"/>
    </row>
    <row r="133" spans="1:11" ht="18.75">
      <c r="A133" s="82"/>
      <c r="B133" s="82"/>
      <c r="C133" s="82"/>
      <c r="D133" s="82"/>
      <c r="E133" s="169"/>
      <c r="F133" s="256"/>
      <c r="G133" s="82"/>
      <c r="H133" s="83"/>
      <c r="I133" s="82"/>
      <c r="J133" s="82"/>
      <c r="K133" s="82"/>
    </row>
    <row r="134" spans="1:11" ht="18.75">
      <c r="A134" s="82"/>
      <c r="B134" s="82"/>
      <c r="C134" s="82"/>
      <c r="D134" s="82"/>
      <c r="E134" s="169"/>
      <c r="F134" s="257"/>
      <c r="G134" s="82"/>
      <c r="H134" s="83"/>
      <c r="I134" s="82"/>
      <c r="J134" s="82"/>
      <c r="K134" s="82"/>
    </row>
    <row r="135" spans="1:11" ht="18.75">
      <c r="A135" s="82"/>
      <c r="B135" s="82"/>
      <c r="C135" s="82"/>
      <c r="D135" s="82"/>
      <c r="E135" s="169"/>
      <c r="F135" s="257"/>
      <c r="G135" s="82"/>
      <c r="H135" s="83"/>
      <c r="I135" s="82"/>
      <c r="J135" s="82"/>
      <c r="K135" s="82"/>
    </row>
    <row r="136" spans="1:11" ht="18.75">
      <c r="A136" s="82"/>
      <c r="B136" s="82"/>
      <c r="C136" s="82"/>
      <c r="D136" s="82"/>
      <c r="E136" s="169"/>
      <c r="F136" s="257"/>
      <c r="G136" s="82"/>
      <c r="H136" s="83"/>
      <c r="I136" s="82"/>
      <c r="J136" s="82"/>
      <c r="K136" s="82"/>
    </row>
    <row r="137" spans="1:11" ht="18.75">
      <c r="A137" s="82"/>
      <c r="B137" s="82"/>
      <c r="C137" s="82"/>
      <c r="D137" s="82"/>
      <c r="E137" s="169"/>
      <c r="F137" s="257"/>
      <c r="G137" s="82"/>
      <c r="H137" s="83"/>
      <c r="I137" s="82"/>
      <c r="J137" s="82"/>
      <c r="K137" s="82"/>
    </row>
    <row r="138" spans="1:11" ht="18.75">
      <c r="A138" s="82"/>
      <c r="B138" s="82"/>
      <c r="C138" s="82"/>
      <c r="D138" s="82"/>
      <c r="E138" s="169"/>
      <c r="F138" s="257"/>
      <c r="G138" s="82"/>
      <c r="H138" s="83"/>
      <c r="I138" s="82"/>
      <c r="J138" s="82"/>
      <c r="K138" s="82"/>
    </row>
    <row r="139" spans="1:11" ht="18.75">
      <c r="A139" s="82"/>
      <c r="B139" s="82"/>
      <c r="C139" s="82"/>
      <c r="D139" s="82"/>
      <c r="E139" s="169"/>
      <c r="F139" s="257"/>
      <c r="G139" s="82"/>
      <c r="H139" s="83"/>
      <c r="I139" s="82"/>
      <c r="J139" s="82"/>
      <c r="K139" s="82"/>
    </row>
    <row r="140" spans="1:11" ht="18.75">
      <c r="A140" s="82"/>
      <c r="B140" s="82"/>
      <c r="C140" s="82"/>
      <c r="D140" s="82"/>
      <c r="E140" s="169"/>
      <c r="F140" s="257"/>
      <c r="G140" s="82"/>
      <c r="H140" s="83"/>
      <c r="I140" s="82"/>
      <c r="J140" s="82"/>
      <c r="K140" s="82"/>
    </row>
    <row r="141" spans="1:11" ht="18.75">
      <c r="A141" s="82"/>
      <c r="B141" s="82"/>
      <c r="C141" s="82"/>
      <c r="D141" s="82"/>
      <c r="E141" s="169"/>
      <c r="F141" s="257"/>
      <c r="G141" s="82"/>
      <c r="H141" s="83"/>
      <c r="I141" s="82"/>
      <c r="J141" s="82"/>
      <c r="K141" s="82"/>
    </row>
    <row r="142" spans="1:11" ht="18.75">
      <c r="A142" s="82"/>
      <c r="B142" s="82"/>
      <c r="C142" s="82"/>
      <c r="D142" s="82"/>
      <c r="E142" s="169"/>
      <c r="F142" s="257"/>
      <c r="G142" s="82"/>
      <c r="H142" s="83"/>
      <c r="I142" s="82"/>
      <c r="J142" s="82"/>
      <c r="K142" s="82"/>
    </row>
    <row r="143" spans="1:11" ht="18.75">
      <c r="A143" s="82"/>
      <c r="B143" s="82"/>
      <c r="C143" s="82"/>
      <c r="D143" s="82"/>
      <c r="E143" s="169"/>
      <c r="F143" s="257"/>
      <c r="G143" s="82"/>
      <c r="H143" s="83"/>
      <c r="I143" s="82"/>
      <c r="J143" s="82"/>
      <c r="K143" s="82"/>
    </row>
    <row r="144" spans="1:11" ht="18.75">
      <c r="A144" s="82"/>
      <c r="B144" s="82"/>
      <c r="C144" s="82"/>
      <c r="D144" s="82"/>
      <c r="E144" s="169"/>
      <c r="F144" s="257"/>
      <c r="G144" s="82"/>
      <c r="H144" s="83"/>
      <c r="I144" s="82"/>
      <c r="J144" s="82"/>
      <c r="K144" s="82"/>
    </row>
    <row r="145" spans="1:11" ht="18.75">
      <c r="A145" s="82"/>
      <c r="B145" s="82"/>
      <c r="C145" s="82"/>
      <c r="D145" s="82"/>
      <c r="E145" s="169"/>
      <c r="F145" s="257"/>
      <c r="G145" s="82"/>
      <c r="H145" s="83"/>
      <c r="I145" s="82"/>
      <c r="J145" s="82"/>
      <c r="K145" s="82"/>
    </row>
    <row r="146" spans="1:11" ht="18.75">
      <c r="A146" s="82"/>
      <c r="B146" s="82"/>
      <c r="C146" s="82"/>
      <c r="D146" s="82"/>
      <c r="E146" s="169"/>
      <c r="F146" s="257"/>
      <c r="G146" s="82"/>
      <c r="H146" s="83"/>
      <c r="I146" s="82"/>
      <c r="J146" s="82"/>
      <c r="K146" s="82"/>
    </row>
    <row r="147" spans="1:11" ht="18.75">
      <c r="A147" s="82"/>
      <c r="B147" s="82"/>
      <c r="C147" s="82"/>
      <c r="D147" s="82"/>
      <c r="E147" s="169"/>
      <c r="F147" s="257"/>
      <c r="G147" s="82"/>
      <c r="H147" s="83"/>
      <c r="I147" s="82"/>
      <c r="J147" s="82"/>
      <c r="K147" s="82"/>
    </row>
    <row r="148" spans="1:11" ht="18.75">
      <c r="A148" s="82"/>
      <c r="B148" s="82"/>
      <c r="C148" s="82"/>
      <c r="D148" s="82"/>
      <c r="E148" s="169"/>
      <c r="F148" s="257"/>
      <c r="G148" s="82"/>
      <c r="H148" s="83"/>
      <c r="I148" s="82"/>
      <c r="J148" s="82"/>
      <c r="K148" s="82"/>
    </row>
    <row r="149" spans="1:11" ht="18.75">
      <c r="A149" s="82"/>
      <c r="B149" s="82"/>
      <c r="C149" s="82"/>
      <c r="D149" s="82"/>
      <c r="E149" s="169"/>
      <c r="F149" s="257"/>
      <c r="G149" s="82"/>
      <c r="H149" s="83"/>
      <c r="I149" s="82"/>
      <c r="J149" s="82"/>
      <c r="K149" s="82"/>
    </row>
    <row r="150" spans="1:11" ht="18.75">
      <c r="A150" s="82"/>
      <c r="B150" s="82"/>
      <c r="C150" s="82"/>
      <c r="D150" s="82"/>
      <c r="E150" s="169"/>
      <c r="F150" s="257"/>
      <c r="G150" s="82"/>
      <c r="H150" s="83"/>
      <c r="I150" s="82"/>
      <c r="J150" s="82"/>
      <c r="K150" s="82"/>
    </row>
    <row r="151" spans="1:11" ht="18.75">
      <c r="A151" s="82"/>
      <c r="B151" s="82"/>
      <c r="C151" s="82"/>
      <c r="D151" s="82"/>
      <c r="E151" s="169"/>
      <c r="F151" s="257"/>
      <c r="G151" s="82"/>
      <c r="H151" s="83"/>
      <c r="I151" s="82"/>
      <c r="J151" s="82"/>
      <c r="K151" s="82"/>
    </row>
    <row r="152" spans="1:11" ht="15.95" customHeight="1">
      <c r="A152" s="82"/>
      <c r="B152" s="82"/>
      <c r="C152" s="82"/>
      <c r="D152" s="82"/>
      <c r="E152" s="169"/>
      <c r="F152" s="193"/>
      <c r="G152" s="82"/>
      <c r="H152" s="83"/>
      <c r="I152" s="82"/>
      <c r="J152" s="82"/>
      <c r="K152" s="82"/>
    </row>
    <row r="153" spans="1:11" ht="15.95" customHeight="1">
      <c r="A153" s="82"/>
      <c r="B153" s="82"/>
      <c r="C153" s="82"/>
      <c r="D153" s="82"/>
      <c r="E153" s="169"/>
      <c r="F153" s="193"/>
      <c r="G153" s="82"/>
      <c r="H153" s="83"/>
      <c r="I153" s="82"/>
      <c r="J153" s="82"/>
      <c r="K153" s="82"/>
    </row>
    <row r="154" spans="1:11" ht="15.95" customHeight="1">
      <c r="A154" s="82"/>
      <c r="B154" s="82"/>
      <c r="C154" s="82"/>
      <c r="D154" s="82"/>
      <c r="E154" s="169"/>
      <c r="F154" s="193"/>
      <c r="G154" s="82"/>
      <c r="H154" s="83"/>
      <c r="I154" s="82"/>
      <c r="J154" s="82"/>
      <c r="K154" s="82"/>
    </row>
    <row r="155" spans="1:11" ht="15.95" customHeight="1">
      <c r="A155" s="82"/>
      <c r="B155" s="82"/>
      <c r="C155" s="82"/>
      <c r="D155" s="82"/>
      <c r="E155" s="169"/>
      <c r="F155" s="193"/>
      <c r="G155" s="82"/>
      <c r="H155" s="83"/>
      <c r="I155" s="82"/>
      <c r="J155" s="82"/>
      <c r="K155" s="82"/>
    </row>
    <row r="156" spans="1:11" ht="15.95" customHeight="1">
      <c r="A156" s="82"/>
      <c r="B156" s="82"/>
      <c r="C156" s="82"/>
      <c r="D156" s="82"/>
      <c r="E156" s="169"/>
      <c r="F156" s="193"/>
      <c r="G156" s="82"/>
      <c r="H156" s="83"/>
      <c r="I156" s="82"/>
      <c r="J156" s="82"/>
      <c r="K156" s="82"/>
    </row>
    <row r="157" spans="1:11" ht="15.95" customHeight="1">
      <c r="A157" s="82"/>
      <c r="B157" s="82"/>
      <c r="C157" s="82"/>
      <c r="D157" s="82"/>
      <c r="E157" s="169"/>
      <c r="F157" s="193"/>
      <c r="G157" s="82"/>
      <c r="H157" s="83"/>
      <c r="I157" s="82"/>
      <c r="J157" s="82"/>
      <c r="K157" s="82"/>
    </row>
    <row r="158" spans="1:11" ht="15.95" customHeight="1">
      <c r="A158" s="82"/>
      <c r="B158" s="82"/>
      <c r="C158" s="82"/>
      <c r="D158" s="82"/>
      <c r="E158" s="169"/>
      <c r="F158" s="193"/>
      <c r="G158" s="82"/>
      <c r="H158" s="83"/>
      <c r="I158" s="82"/>
      <c r="J158" s="82"/>
      <c r="K158" s="82"/>
    </row>
    <row r="159" spans="1:11" ht="15.95" customHeight="1">
      <c r="A159" s="82"/>
      <c r="B159" s="82"/>
      <c r="C159" s="82"/>
      <c r="D159" s="82"/>
      <c r="E159" s="169"/>
      <c r="F159" s="193"/>
      <c r="G159" s="82"/>
      <c r="H159" s="83"/>
      <c r="I159" s="82"/>
      <c r="J159" s="82"/>
      <c r="K159" s="82"/>
    </row>
    <row r="160" spans="1:11" ht="15.95" customHeight="1">
      <c r="A160" s="82"/>
      <c r="B160" s="82"/>
      <c r="C160" s="82"/>
      <c r="D160" s="82"/>
      <c r="E160" s="169"/>
      <c r="F160" s="193"/>
      <c r="G160" s="82"/>
      <c r="H160" s="83"/>
      <c r="I160" s="82"/>
      <c r="J160" s="82"/>
      <c r="K160" s="82"/>
    </row>
    <row r="161" spans="1:11" ht="15.95" customHeight="1">
      <c r="A161" s="82"/>
      <c r="B161" s="82"/>
      <c r="C161" s="82"/>
      <c r="D161" s="82"/>
      <c r="E161" s="169"/>
      <c r="F161" s="193"/>
      <c r="G161" s="82"/>
      <c r="H161" s="83"/>
      <c r="I161" s="82"/>
      <c r="J161" s="82"/>
      <c r="K161" s="82"/>
    </row>
    <row r="162" spans="1:11" ht="15.95" customHeight="1">
      <c r="A162" s="82"/>
      <c r="B162" s="82"/>
      <c r="C162" s="82"/>
      <c r="D162" s="82"/>
      <c r="E162" s="169"/>
      <c r="F162" s="193"/>
      <c r="G162" s="82"/>
      <c r="H162" s="83"/>
      <c r="I162" s="82"/>
      <c r="J162" s="82"/>
      <c r="K162" s="82"/>
    </row>
    <row r="163" spans="1:11" ht="15.95" customHeight="1">
      <c r="A163" s="82"/>
      <c r="B163" s="82"/>
      <c r="C163" s="82"/>
      <c r="D163" s="82"/>
      <c r="E163" s="169"/>
      <c r="F163" s="193"/>
      <c r="G163" s="82"/>
      <c r="H163" s="83"/>
      <c r="I163" s="82"/>
      <c r="J163" s="82"/>
      <c r="K163" s="82"/>
    </row>
    <row r="164" spans="1:11" ht="15.95" customHeight="1">
      <c r="A164" s="82"/>
      <c r="B164" s="82"/>
      <c r="C164" s="82"/>
      <c r="D164" s="82"/>
      <c r="E164" s="169"/>
      <c r="F164" s="193"/>
      <c r="G164" s="82"/>
      <c r="H164" s="83"/>
      <c r="I164" s="82"/>
      <c r="J164" s="82"/>
      <c r="K164" s="82"/>
    </row>
    <row r="165" spans="1:11" ht="15.95" customHeight="1">
      <c r="A165" s="82"/>
      <c r="B165" s="82"/>
      <c r="C165" s="82"/>
      <c r="D165" s="82"/>
      <c r="E165" s="169"/>
      <c r="F165" s="193"/>
      <c r="G165" s="82"/>
      <c r="H165" s="83"/>
      <c r="I165" s="82"/>
      <c r="J165" s="82"/>
      <c r="K165" s="82"/>
    </row>
    <row r="166" spans="1:11" ht="15.95" customHeight="1">
      <c r="A166" s="82"/>
      <c r="B166" s="82"/>
      <c r="C166" s="82"/>
      <c r="D166" s="82"/>
      <c r="E166" s="169"/>
      <c r="F166" s="193"/>
      <c r="G166" s="82"/>
      <c r="H166" s="83"/>
      <c r="I166" s="82"/>
      <c r="J166" s="82"/>
      <c r="K166" s="82"/>
    </row>
    <row r="167" spans="1:11" ht="15.95" customHeight="1">
      <c r="A167" s="82"/>
      <c r="B167" s="82"/>
      <c r="C167" s="82"/>
      <c r="D167" s="82"/>
      <c r="E167" s="169"/>
      <c r="F167" s="193"/>
      <c r="G167" s="82"/>
      <c r="H167" s="83"/>
      <c r="I167" s="82"/>
      <c r="J167" s="82"/>
      <c r="K167" s="82"/>
    </row>
    <row r="168" spans="1:11" ht="15.95" customHeight="1">
      <c r="A168" s="82"/>
      <c r="B168" s="82"/>
      <c r="C168" s="82"/>
      <c r="D168" s="82"/>
      <c r="E168" s="169"/>
      <c r="F168" s="193"/>
      <c r="G168" s="82"/>
      <c r="H168" s="83"/>
      <c r="I168" s="82"/>
      <c r="J168" s="82"/>
      <c r="K168" s="82"/>
    </row>
    <row r="169" spans="1:11" ht="15.95" customHeight="1">
      <c r="A169" s="82"/>
      <c r="B169" s="82"/>
      <c r="C169" s="82"/>
      <c r="D169" s="82"/>
      <c r="E169" s="169"/>
      <c r="F169" s="193"/>
      <c r="G169" s="82"/>
      <c r="H169" s="83"/>
      <c r="I169" s="82"/>
      <c r="J169" s="82"/>
      <c r="K169" s="82"/>
    </row>
    <row r="170" spans="1:11" ht="15.95" customHeight="1">
      <c r="A170" s="82"/>
      <c r="B170" s="82"/>
      <c r="C170" s="82"/>
      <c r="D170" s="82"/>
      <c r="E170" s="169"/>
      <c r="F170" s="193"/>
      <c r="G170" s="82"/>
      <c r="H170" s="83"/>
      <c r="I170" s="82"/>
      <c r="J170" s="82"/>
      <c r="K170" s="82"/>
    </row>
    <row r="171" spans="1:11" ht="15.95" customHeight="1">
      <c r="A171" s="82"/>
      <c r="B171" s="82"/>
      <c r="C171" s="82"/>
      <c r="D171" s="82"/>
      <c r="E171" s="169"/>
      <c r="F171" s="193"/>
      <c r="G171" s="82"/>
      <c r="H171" s="83"/>
      <c r="I171" s="82"/>
      <c r="J171" s="82"/>
      <c r="K171" s="82"/>
    </row>
    <row r="172" spans="1:11" ht="15.95" customHeight="1">
      <c r="A172" s="82"/>
      <c r="B172" s="82"/>
      <c r="C172" s="82"/>
      <c r="D172" s="82"/>
      <c r="E172" s="169"/>
      <c r="F172" s="193"/>
      <c r="G172" s="82"/>
      <c r="H172" s="83"/>
      <c r="I172" s="82"/>
      <c r="J172" s="82"/>
      <c r="K172" s="82"/>
    </row>
    <row r="173" spans="1:11" ht="15.95" customHeight="1">
      <c r="A173" s="82"/>
      <c r="B173" s="82"/>
      <c r="C173" s="82"/>
      <c r="D173" s="82"/>
      <c r="E173" s="169"/>
      <c r="F173" s="193"/>
      <c r="G173" s="82"/>
      <c r="H173" s="83"/>
      <c r="I173" s="82"/>
      <c r="J173" s="82"/>
      <c r="K173" s="82"/>
    </row>
    <row r="174" spans="1:11" ht="15.95" customHeight="1">
      <c r="A174" s="82"/>
      <c r="B174" s="82"/>
      <c r="C174" s="82"/>
      <c r="D174" s="82"/>
      <c r="E174" s="169"/>
      <c r="F174" s="193"/>
      <c r="G174" s="82"/>
      <c r="H174" s="83"/>
      <c r="I174" s="82"/>
      <c r="J174" s="82"/>
      <c r="K174" s="82"/>
    </row>
    <row r="175" spans="1:11" ht="15.95" customHeight="1">
      <c r="A175" s="82"/>
      <c r="B175" s="82"/>
      <c r="C175" s="82"/>
      <c r="D175" s="82"/>
      <c r="E175" s="169"/>
      <c r="F175" s="193"/>
      <c r="G175" s="82"/>
      <c r="H175" s="83"/>
      <c r="I175" s="82"/>
      <c r="J175" s="82"/>
      <c r="K175" s="82"/>
    </row>
    <row r="176" spans="1:11" ht="15.95" customHeight="1">
      <c r="A176" s="82"/>
      <c r="B176" s="82"/>
      <c r="C176" s="82"/>
      <c r="D176" s="82"/>
      <c r="E176" s="169"/>
      <c r="F176" s="193"/>
      <c r="G176" s="82"/>
      <c r="H176" s="83"/>
      <c r="I176" s="82"/>
      <c r="J176" s="82"/>
      <c r="K176" s="82"/>
    </row>
    <row r="177" spans="1:11" ht="15.95" customHeight="1">
      <c r="A177" s="82"/>
      <c r="B177" s="82"/>
      <c r="C177" s="82"/>
      <c r="D177" s="82"/>
      <c r="E177" s="169"/>
      <c r="F177" s="193"/>
      <c r="G177" s="82"/>
      <c r="H177" s="83"/>
      <c r="I177" s="82"/>
      <c r="J177" s="82"/>
      <c r="K177" s="82"/>
    </row>
    <row r="178" spans="1:11" ht="15.95" customHeight="1">
      <c r="A178" s="82"/>
      <c r="B178" s="82"/>
      <c r="C178" s="82"/>
      <c r="D178" s="82"/>
      <c r="E178" s="169"/>
      <c r="F178" s="193"/>
      <c r="G178" s="82"/>
      <c r="H178" s="83"/>
      <c r="I178" s="82"/>
      <c r="J178" s="82"/>
      <c r="K178" s="82"/>
    </row>
    <row r="179" spans="1:11" ht="15.95" customHeight="1">
      <c r="A179" s="82"/>
      <c r="B179" s="82"/>
      <c r="C179" s="82"/>
      <c r="D179" s="82"/>
      <c r="E179" s="169"/>
      <c r="F179" s="193"/>
      <c r="G179" s="82"/>
      <c r="H179" s="83"/>
      <c r="I179" s="82"/>
      <c r="J179" s="82"/>
      <c r="K179" s="82"/>
    </row>
    <row r="180" spans="1:11" ht="15.95" customHeight="1">
      <c r="A180" s="82"/>
      <c r="B180" s="82"/>
      <c r="C180" s="82"/>
      <c r="D180" s="82"/>
      <c r="E180" s="169"/>
      <c r="F180" s="193"/>
      <c r="G180" s="82"/>
      <c r="H180" s="83"/>
      <c r="I180" s="82"/>
      <c r="J180" s="82"/>
      <c r="K180" s="82"/>
    </row>
    <row r="181" spans="1:11" ht="15.95" customHeight="1">
      <c r="A181" s="82"/>
      <c r="B181" s="82"/>
      <c r="C181" s="82"/>
      <c r="D181" s="82"/>
      <c r="E181" s="169"/>
      <c r="F181" s="193"/>
      <c r="G181" s="82"/>
      <c r="H181" s="83"/>
      <c r="I181" s="82"/>
      <c r="J181" s="82"/>
      <c r="K181" s="82"/>
    </row>
    <row r="182" spans="1:11" ht="15.95" customHeight="1">
      <c r="A182" s="82"/>
      <c r="B182" s="82"/>
      <c r="C182" s="82"/>
      <c r="D182" s="82"/>
      <c r="E182" s="169"/>
      <c r="F182" s="193"/>
      <c r="G182" s="82"/>
      <c r="H182" s="83"/>
      <c r="I182" s="82"/>
      <c r="J182" s="82"/>
      <c r="K182" s="82"/>
    </row>
    <row r="183" spans="1:11" ht="15.95" customHeight="1">
      <c r="A183" s="82"/>
      <c r="B183" s="82"/>
      <c r="C183" s="82"/>
      <c r="D183" s="82"/>
      <c r="E183" s="169"/>
      <c r="F183" s="193"/>
      <c r="G183" s="82"/>
      <c r="H183" s="83"/>
      <c r="I183" s="82"/>
      <c r="J183" s="82"/>
      <c r="K183" s="82"/>
    </row>
    <row r="184" spans="1:11" ht="15.95" customHeight="1">
      <c r="A184" s="82"/>
      <c r="B184" s="82"/>
      <c r="C184" s="82"/>
      <c r="D184" s="82"/>
      <c r="E184" s="169"/>
      <c r="F184" s="193"/>
      <c r="G184" s="82"/>
      <c r="H184" s="83"/>
      <c r="I184" s="82"/>
      <c r="J184" s="82"/>
      <c r="K184" s="82"/>
    </row>
    <row r="185" spans="1:11" ht="15.95" customHeight="1">
      <c r="A185" s="82"/>
      <c r="B185" s="82"/>
      <c r="C185" s="82"/>
      <c r="D185" s="82"/>
      <c r="E185" s="169"/>
      <c r="F185" s="193"/>
      <c r="G185" s="82"/>
      <c r="H185" s="83"/>
      <c r="I185" s="82"/>
      <c r="J185" s="82"/>
      <c r="K185" s="82"/>
    </row>
    <row r="186" spans="1:11" ht="15.95" customHeight="1">
      <c r="A186" s="82"/>
      <c r="B186" s="82"/>
      <c r="C186" s="82"/>
      <c r="D186" s="82"/>
      <c r="E186" s="169"/>
      <c r="F186" s="193"/>
      <c r="G186" s="82"/>
      <c r="H186" s="83"/>
      <c r="I186" s="82"/>
      <c r="J186" s="82"/>
      <c r="K186" s="82"/>
    </row>
    <row r="187" spans="1:11" ht="15.95" customHeight="1">
      <c r="A187" s="82"/>
      <c r="B187" s="82"/>
      <c r="C187" s="82"/>
      <c r="D187" s="82"/>
      <c r="E187" s="169"/>
      <c r="F187" s="193"/>
      <c r="G187" s="82"/>
      <c r="H187" s="83"/>
      <c r="I187" s="82"/>
      <c r="J187" s="82"/>
      <c r="K187" s="82"/>
    </row>
    <row r="188" spans="1:11" ht="15.95" customHeight="1">
      <c r="A188" s="82"/>
      <c r="B188" s="82"/>
      <c r="C188" s="82"/>
      <c r="D188" s="82"/>
      <c r="E188" s="169"/>
      <c r="F188" s="193"/>
      <c r="G188" s="82"/>
      <c r="H188" s="83"/>
      <c r="I188" s="82"/>
      <c r="J188" s="82"/>
      <c r="K188" s="82"/>
    </row>
    <row r="189" spans="1:11" ht="15.95" customHeight="1">
      <c r="A189" s="82"/>
      <c r="B189" s="82"/>
      <c r="C189" s="82"/>
      <c r="D189" s="82"/>
      <c r="E189" s="169"/>
      <c r="F189" s="193"/>
      <c r="G189" s="82"/>
      <c r="H189" s="83"/>
      <c r="I189" s="82"/>
      <c r="J189" s="82"/>
      <c r="K189" s="82"/>
    </row>
    <row r="190" spans="1:11" ht="15.95" customHeight="1">
      <c r="A190" s="82"/>
      <c r="B190" s="82"/>
      <c r="C190" s="82"/>
      <c r="D190" s="82"/>
      <c r="E190" s="169"/>
      <c r="F190" s="193"/>
      <c r="G190" s="82"/>
      <c r="H190" s="83"/>
      <c r="I190" s="82"/>
      <c r="J190" s="82"/>
      <c r="K190" s="82"/>
    </row>
    <row r="191" spans="1:11" ht="15.95" customHeight="1">
      <c r="A191" s="82"/>
      <c r="B191" s="82"/>
      <c r="C191" s="82"/>
      <c r="D191" s="82"/>
      <c r="E191" s="169"/>
      <c r="F191" s="193"/>
      <c r="G191" s="82"/>
      <c r="H191" s="83"/>
      <c r="I191" s="82"/>
      <c r="J191" s="82"/>
      <c r="K191" s="82"/>
    </row>
    <row r="192" spans="1:11" ht="15.95" customHeight="1">
      <c r="A192" s="82"/>
      <c r="B192" s="82"/>
      <c r="C192" s="82"/>
      <c r="D192" s="82"/>
      <c r="E192" s="169"/>
      <c r="F192" s="193"/>
      <c r="G192" s="82"/>
      <c r="H192" s="83"/>
      <c r="I192" s="82"/>
      <c r="J192" s="82"/>
      <c r="K192" s="82"/>
    </row>
    <row r="193" spans="1:11" ht="15.95" customHeight="1">
      <c r="A193" s="82"/>
      <c r="B193" s="82"/>
      <c r="C193" s="82"/>
      <c r="D193" s="82"/>
      <c r="E193" s="169"/>
      <c r="F193" s="193"/>
      <c r="G193" s="82"/>
      <c r="H193" s="83"/>
      <c r="I193" s="82"/>
      <c r="J193" s="82"/>
      <c r="K193" s="82"/>
    </row>
    <row r="194" spans="1:11" ht="15.95" customHeight="1">
      <c r="A194" s="82"/>
      <c r="B194" s="82"/>
      <c r="C194" s="82"/>
      <c r="D194" s="82"/>
      <c r="E194" s="169"/>
      <c r="F194" s="193"/>
      <c r="G194" s="82"/>
      <c r="H194" s="83"/>
      <c r="I194" s="82"/>
      <c r="J194" s="82"/>
      <c r="K194" s="82"/>
    </row>
    <row r="195" spans="1:11" ht="15.95" customHeight="1">
      <c r="A195" s="82"/>
      <c r="B195" s="82"/>
      <c r="C195" s="82"/>
      <c r="D195" s="82"/>
      <c r="E195" s="169"/>
      <c r="F195" s="193"/>
      <c r="G195" s="82"/>
      <c r="H195" s="83"/>
      <c r="I195" s="82"/>
      <c r="J195" s="82"/>
      <c r="K195" s="82"/>
    </row>
    <row r="196" spans="1:11" ht="15.95" customHeight="1">
      <c r="A196" s="82"/>
      <c r="B196" s="82"/>
      <c r="C196" s="82"/>
      <c r="D196" s="82"/>
      <c r="E196" s="169"/>
      <c r="F196" s="193"/>
      <c r="G196" s="82"/>
      <c r="H196" s="83"/>
      <c r="I196" s="82"/>
      <c r="J196" s="82"/>
      <c r="K196" s="82"/>
    </row>
    <row r="197" spans="1:11" ht="15.95" customHeight="1">
      <c r="A197" s="82"/>
      <c r="B197" s="82"/>
      <c r="C197" s="82"/>
      <c r="D197" s="82"/>
      <c r="E197" s="169"/>
      <c r="F197" s="193"/>
      <c r="G197" s="82"/>
      <c r="H197" s="83"/>
      <c r="I197" s="82"/>
      <c r="J197" s="82"/>
      <c r="K197" s="82"/>
    </row>
    <row r="198" spans="1:11" ht="15.95" customHeight="1">
      <c r="A198" s="82"/>
      <c r="B198" s="82"/>
      <c r="C198" s="82"/>
      <c r="D198" s="82"/>
      <c r="E198" s="169"/>
      <c r="F198" s="193"/>
      <c r="G198" s="82"/>
      <c r="H198" s="83"/>
      <c r="I198" s="82"/>
      <c r="J198" s="82"/>
      <c r="K198" s="82"/>
    </row>
    <row r="199" spans="1:11" ht="15.95" customHeight="1">
      <c r="A199" s="82"/>
      <c r="B199" s="82"/>
      <c r="C199" s="82"/>
      <c r="D199" s="82"/>
      <c r="E199" s="169"/>
      <c r="F199" s="193"/>
      <c r="G199" s="82"/>
      <c r="H199" s="83"/>
      <c r="I199" s="82"/>
      <c r="J199" s="82"/>
      <c r="K199" s="82"/>
    </row>
    <row r="200" spans="1:11" ht="15.95" customHeight="1">
      <c r="A200" s="82"/>
      <c r="B200" s="82"/>
      <c r="C200" s="82"/>
      <c r="D200" s="82"/>
      <c r="E200" s="169"/>
      <c r="F200" s="193"/>
      <c r="G200" s="82"/>
      <c r="H200" s="83"/>
      <c r="I200" s="82"/>
      <c r="J200" s="82"/>
      <c r="K200" s="82"/>
    </row>
    <row r="201" spans="1:11" ht="15.95" customHeight="1">
      <c r="A201" s="82"/>
      <c r="B201" s="82"/>
      <c r="C201" s="82"/>
      <c r="D201" s="82"/>
      <c r="E201" s="169"/>
      <c r="F201" s="193"/>
      <c r="G201" s="82"/>
      <c r="H201" s="83"/>
      <c r="I201" s="82"/>
      <c r="J201" s="82"/>
      <c r="K201" s="82"/>
    </row>
    <row r="202" spans="1:11" ht="15.95" customHeight="1">
      <c r="A202" s="82"/>
      <c r="B202" s="82"/>
      <c r="C202" s="82"/>
      <c r="D202" s="82"/>
      <c r="E202" s="169"/>
      <c r="F202" s="193"/>
      <c r="G202" s="82"/>
      <c r="H202" s="83"/>
      <c r="I202" s="82"/>
      <c r="J202" s="82"/>
      <c r="K202" s="82"/>
    </row>
    <row r="203" spans="1:11" ht="15.95" customHeight="1">
      <c r="A203" s="82"/>
      <c r="B203" s="82"/>
      <c r="C203" s="82"/>
      <c r="D203" s="82"/>
      <c r="E203" s="169"/>
      <c r="F203" s="193"/>
      <c r="G203" s="82"/>
      <c r="H203" s="83"/>
      <c r="I203" s="82"/>
      <c r="J203" s="82"/>
      <c r="K203" s="82"/>
    </row>
    <row r="204" spans="1:11" ht="15.95" customHeight="1">
      <c r="A204" s="82"/>
      <c r="B204" s="82"/>
      <c r="C204" s="82"/>
      <c r="D204" s="82"/>
      <c r="E204" s="169"/>
      <c r="F204" s="193"/>
      <c r="G204" s="82"/>
      <c r="H204" s="83"/>
      <c r="I204" s="82"/>
      <c r="J204" s="82"/>
      <c r="K204" s="82"/>
    </row>
    <row r="205" spans="1:11" ht="15.95" customHeight="1">
      <c r="A205" s="82"/>
      <c r="B205" s="82"/>
      <c r="C205" s="82"/>
      <c r="D205" s="82"/>
      <c r="E205" s="169"/>
      <c r="F205" s="193"/>
      <c r="G205" s="82"/>
      <c r="H205" s="83"/>
      <c r="I205" s="82"/>
      <c r="J205" s="82"/>
      <c r="K205" s="82"/>
    </row>
    <row r="206" spans="1:11" ht="15.95" customHeight="1">
      <c r="A206" s="82"/>
      <c r="B206" s="82"/>
      <c r="C206" s="82"/>
      <c r="D206" s="82"/>
      <c r="E206" s="169"/>
      <c r="F206" s="193"/>
      <c r="G206" s="82"/>
      <c r="H206" s="83"/>
      <c r="I206" s="82"/>
      <c r="J206" s="82"/>
      <c r="K206" s="82"/>
    </row>
    <row r="207" spans="1:11" ht="15.95" customHeight="1">
      <c r="A207" s="82"/>
      <c r="B207" s="82"/>
      <c r="C207" s="82"/>
      <c r="D207" s="82"/>
      <c r="E207" s="169"/>
      <c r="F207" s="193"/>
      <c r="G207" s="82"/>
      <c r="H207" s="83"/>
      <c r="I207" s="82"/>
      <c r="J207" s="82"/>
      <c r="K207" s="82"/>
    </row>
    <row r="208" spans="1:11" ht="15.95" customHeight="1">
      <c r="A208" s="82"/>
      <c r="B208" s="82"/>
      <c r="C208" s="82"/>
      <c r="D208" s="82"/>
      <c r="E208" s="169"/>
      <c r="F208" s="193"/>
      <c r="G208" s="82"/>
      <c r="H208" s="83"/>
      <c r="I208" s="82"/>
      <c r="J208" s="82"/>
      <c r="K208" s="82"/>
    </row>
    <row r="209" spans="1:11" ht="15.95" customHeight="1">
      <c r="A209" s="82"/>
      <c r="B209" s="82"/>
      <c r="C209" s="82"/>
      <c r="D209" s="82"/>
      <c r="E209" s="169"/>
      <c r="F209" s="193"/>
      <c r="G209" s="82"/>
      <c r="H209" s="83"/>
      <c r="I209" s="82"/>
      <c r="J209" s="82"/>
      <c r="K209" s="82"/>
    </row>
    <row r="210" spans="1:11" ht="15.95" customHeight="1">
      <c r="A210" s="82"/>
      <c r="B210" s="82"/>
      <c r="C210" s="82"/>
      <c r="D210" s="82"/>
      <c r="E210" s="169"/>
      <c r="F210" s="193"/>
      <c r="G210" s="82"/>
      <c r="H210" s="83"/>
      <c r="I210" s="82"/>
      <c r="J210" s="82"/>
      <c r="K210" s="82"/>
    </row>
    <row r="211" spans="1:11" ht="15.95" customHeight="1">
      <c r="A211" s="82"/>
      <c r="B211" s="82"/>
      <c r="C211" s="82"/>
      <c r="D211" s="82"/>
      <c r="E211" s="169"/>
      <c r="F211" s="193"/>
      <c r="G211" s="82"/>
      <c r="H211" s="83"/>
      <c r="I211" s="82"/>
      <c r="J211" s="82"/>
      <c r="K211" s="82"/>
    </row>
    <row r="212" spans="1:11" ht="15.95" customHeight="1">
      <c r="A212" s="82"/>
      <c r="B212" s="82"/>
      <c r="C212" s="82"/>
      <c r="D212" s="82"/>
      <c r="E212" s="169"/>
      <c r="F212" s="193"/>
      <c r="G212" s="82"/>
      <c r="H212" s="83"/>
      <c r="I212" s="82"/>
      <c r="J212" s="82"/>
      <c r="K212" s="82"/>
    </row>
    <row r="213" spans="1:11" ht="15.95" customHeight="1">
      <c r="A213" s="82"/>
      <c r="B213" s="82"/>
      <c r="C213" s="82"/>
      <c r="D213" s="82"/>
      <c r="E213" s="169"/>
      <c r="F213" s="193"/>
      <c r="G213" s="82"/>
      <c r="H213" s="83"/>
      <c r="I213" s="82"/>
      <c r="J213" s="82"/>
      <c r="K213" s="82"/>
    </row>
    <row r="214" spans="1:11" ht="15.95" customHeight="1">
      <c r="A214" s="82"/>
      <c r="B214" s="82"/>
      <c r="C214" s="82"/>
      <c r="D214" s="82"/>
      <c r="E214" s="169"/>
      <c r="F214" s="193"/>
      <c r="G214" s="82"/>
      <c r="H214" s="83"/>
      <c r="I214" s="82"/>
      <c r="J214" s="82"/>
      <c r="K214" s="82"/>
    </row>
    <row r="215" spans="1:11" ht="15.95" customHeight="1">
      <c r="A215" s="82"/>
      <c r="B215" s="82"/>
      <c r="C215" s="82"/>
      <c r="D215" s="82"/>
      <c r="E215" s="169"/>
      <c r="F215" s="193"/>
      <c r="G215" s="82"/>
      <c r="H215" s="83"/>
      <c r="I215" s="82"/>
      <c r="J215" s="82"/>
      <c r="K215" s="82"/>
    </row>
    <row r="216" spans="1:11" ht="15.95" customHeight="1">
      <c r="A216" s="82"/>
      <c r="B216" s="82"/>
      <c r="C216" s="82"/>
      <c r="D216" s="82"/>
      <c r="E216" s="169"/>
      <c r="F216" s="193"/>
      <c r="G216" s="82"/>
      <c r="H216" s="83"/>
      <c r="I216" s="82"/>
      <c r="J216" s="82"/>
      <c r="K216" s="82"/>
    </row>
    <row r="217" spans="1:11" ht="15.95" customHeight="1">
      <c r="A217" s="82"/>
      <c r="B217" s="82"/>
      <c r="C217" s="82"/>
      <c r="D217" s="82"/>
      <c r="E217" s="169"/>
      <c r="F217" s="193"/>
      <c r="G217" s="82"/>
      <c r="H217" s="83"/>
      <c r="I217" s="82"/>
      <c r="J217" s="82"/>
      <c r="K217" s="82"/>
    </row>
    <row r="218" spans="1:11" ht="15.95" customHeight="1">
      <c r="A218" s="82"/>
      <c r="B218" s="82"/>
      <c r="C218" s="82"/>
      <c r="D218" s="82"/>
      <c r="E218" s="169"/>
      <c r="F218" s="193"/>
      <c r="G218" s="82"/>
      <c r="H218" s="83"/>
      <c r="I218" s="82"/>
      <c r="J218" s="82"/>
      <c r="K218" s="82"/>
    </row>
    <row r="219" spans="1:11" ht="15.95" customHeight="1">
      <c r="A219" s="82"/>
      <c r="B219" s="82"/>
      <c r="C219" s="82"/>
      <c r="D219" s="82"/>
      <c r="E219" s="169"/>
      <c r="F219" s="193"/>
      <c r="G219" s="82"/>
      <c r="H219" s="83"/>
      <c r="I219" s="82"/>
      <c r="J219" s="82"/>
      <c r="K219" s="82"/>
    </row>
    <row r="220" spans="1:11" ht="15.95" customHeight="1">
      <c r="A220" s="82"/>
      <c r="B220" s="82"/>
      <c r="C220" s="82"/>
      <c r="D220" s="82"/>
      <c r="E220" s="169"/>
      <c r="F220" s="193"/>
      <c r="G220" s="82"/>
      <c r="H220" s="83"/>
      <c r="I220" s="82"/>
      <c r="J220" s="82"/>
      <c r="K220" s="82"/>
    </row>
    <row r="221" spans="1:11" ht="15.95" customHeight="1">
      <c r="A221" s="82"/>
      <c r="B221" s="82"/>
      <c r="C221" s="82"/>
      <c r="D221" s="82"/>
      <c r="E221" s="169"/>
      <c r="F221" s="193"/>
      <c r="G221" s="82"/>
      <c r="H221" s="83"/>
      <c r="I221" s="82"/>
      <c r="J221" s="82"/>
      <c r="K221" s="82"/>
    </row>
    <row r="222" spans="1:11" ht="15.95" customHeight="1">
      <c r="A222" s="82"/>
      <c r="B222" s="82"/>
      <c r="C222" s="82"/>
      <c r="D222" s="82"/>
      <c r="E222" s="169"/>
      <c r="F222" s="193"/>
      <c r="G222" s="82"/>
      <c r="H222" s="83"/>
      <c r="I222" s="82"/>
      <c r="J222" s="82"/>
      <c r="K222" s="82"/>
    </row>
    <row r="223" spans="1:11" ht="15.95" customHeight="1">
      <c r="A223" s="82"/>
      <c r="B223" s="82"/>
      <c r="C223" s="82"/>
      <c r="D223" s="82"/>
      <c r="E223" s="169"/>
      <c r="F223" s="193"/>
      <c r="G223" s="82"/>
      <c r="H223" s="83"/>
      <c r="I223" s="82"/>
      <c r="J223" s="82"/>
      <c r="K223" s="82"/>
    </row>
    <row r="224" spans="1:11" ht="15.95" customHeight="1">
      <c r="A224" s="82"/>
      <c r="B224" s="82"/>
      <c r="C224" s="82"/>
      <c r="D224" s="82"/>
      <c r="E224" s="169"/>
      <c r="F224" s="193"/>
      <c r="G224" s="82"/>
      <c r="H224" s="83"/>
      <c r="I224" s="82"/>
      <c r="J224" s="82"/>
      <c r="K224" s="82"/>
    </row>
    <row r="225" spans="1:11" ht="15.95" customHeight="1">
      <c r="A225" s="82"/>
      <c r="B225" s="82"/>
      <c r="C225" s="82"/>
      <c r="D225" s="82"/>
      <c r="E225" s="169"/>
      <c r="F225" s="193"/>
      <c r="G225" s="82"/>
      <c r="H225" s="83"/>
      <c r="I225" s="82"/>
      <c r="J225" s="82"/>
      <c r="K225" s="82"/>
    </row>
    <row r="226" spans="1:11" ht="15.95" customHeight="1">
      <c r="A226" s="82"/>
      <c r="B226" s="82"/>
      <c r="C226" s="82"/>
      <c r="D226" s="82"/>
      <c r="E226" s="169"/>
      <c r="F226" s="193"/>
      <c r="G226" s="82"/>
      <c r="H226" s="83"/>
      <c r="I226" s="82"/>
      <c r="J226" s="82"/>
      <c r="K226" s="82"/>
    </row>
    <row r="227" spans="1:11" ht="15.95" customHeight="1">
      <c r="A227" s="82"/>
      <c r="B227" s="82"/>
      <c r="C227" s="82"/>
      <c r="D227" s="82"/>
      <c r="E227" s="169"/>
      <c r="F227" s="193"/>
      <c r="G227" s="82"/>
      <c r="H227" s="83"/>
      <c r="I227" s="82"/>
      <c r="J227" s="82"/>
      <c r="K227" s="82"/>
    </row>
    <row r="228" spans="1:11" ht="15.95" customHeight="1">
      <c r="A228" s="82"/>
      <c r="B228" s="82"/>
      <c r="C228" s="82"/>
      <c r="D228" s="82"/>
      <c r="E228" s="169"/>
      <c r="F228" s="193"/>
      <c r="G228" s="82"/>
      <c r="H228" s="83"/>
      <c r="I228" s="82"/>
      <c r="J228" s="82"/>
      <c r="K228" s="82"/>
    </row>
    <row r="229" spans="1:11" ht="15.95" customHeight="1">
      <c r="A229" s="82"/>
      <c r="B229" s="82"/>
      <c r="C229" s="82"/>
      <c r="D229" s="82"/>
      <c r="E229" s="169"/>
      <c r="F229" s="193"/>
      <c r="G229" s="82"/>
      <c r="H229" s="83"/>
      <c r="I229" s="82"/>
      <c r="J229" s="82"/>
      <c r="K229" s="82"/>
    </row>
    <row r="230" spans="1:11" ht="15.95" customHeight="1">
      <c r="A230" s="82"/>
      <c r="B230" s="82"/>
      <c r="C230" s="82"/>
      <c r="D230" s="82"/>
      <c r="E230" s="169"/>
      <c r="F230" s="193"/>
      <c r="G230" s="82"/>
      <c r="H230" s="83"/>
      <c r="I230" s="82"/>
      <c r="J230" s="82"/>
      <c r="K230" s="82"/>
    </row>
    <row r="231" spans="1:11" ht="15.95" customHeight="1">
      <c r="A231" s="82"/>
      <c r="B231" s="82"/>
      <c r="C231" s="82"/>
      <c r="D231" s="82"/>
      <c r="E231" s="169"/>
      <c r="F231" s="193"/>
      <c r="G231" s="82"/>
      <c r="H231" s="83"/>
      <c r="I231" s="82"/>
      <c r="J231" s="82"/>
      <c r="K231" s="82"/>
    </row>
    <row r="232" spans="1:11" ht="15.95" customHeight="1">
      <c r="A232" s="82"/>
      <c r="B232" s="82"/>
      <c r="C232" s="82"/>
      <c r="D232" s="82"/>
      <c r="E232" s="169"/>
      <c r="F232" s="193"/>
      <c r="G232" s="82"/>
      <c r="H232" s="83"/>
      <c r="I232" s="82"/>
      <c r="J232" s="82"/>
      <c r="K232" s="82"/>
    </row>
    <row r="233" spans="1:11" ht="15.95" customHeight="1">
      <c r="A233" s="82"/>
      <c r="B233" s="82"/>
      <c r="C233" s="82"/>
      <c r="D233" s="82"/>
      <c r="E233" s="169"/>
      <c r="F233" s="193"/>
      <c r="G233" s="82"/>
      <c r="H233" s="83"/>
      <c r="I233" s="82"/>
      <c r="J233" s="82"/>
      <c r="K233" s="82"/>
    </row>
    <row r="234" spans="1:11" ht="15.95" customHeight="1">
      <c r="A234" s="82"/>
      <c r="B234" s="82"/>
      <c r="C234" s="82"/>
      <c r="D234" s="82"/>
      <c r="E234" s="169"/>
      <c r="F234" s="193"/>
      <c r="G234" s="82"/>
      <c r="H234" s="83"/>
      <c r="I234" s="82"/>
      <c r="J234" s="82"/>
      <c r="K234" s="82"/>
    </row>
    <row r="235" spans="1:11" ht="15.95" customHeight="1">
      <c r="A235" s="82"/>
      <c r="B235" s="82"/>
      <c r="C235" s="82"/>
      <c r="D235" s="82"/>
      <c r="E235" s="169"/>
      <c r="F235" s="193"/>
      <c r="G235" s="82"/>
      <c r="H235" s="83"/>
      <c r="I235" s="82"/>
      <c r="J235" s="82"/>
      <c r="K235" s="82"/>
    </row>
    <row r="236" spans="1:11" ht="15.95" customHeight="1">
      <c r="A236" s="82"/>
      <c r="B236" s="82"/>
      <c r="C236" s="82"/>
      <c r="D236" s="82"/>
      <c r="E236" s="169"/>
      <c r="F236" s="193"/>
      <c r="G236" s="82"/>
      <c r="H236" s="83"/>
      <c r="I236" s="82"/>
      <c r="J236" s="82"/>
      <c r="K236" s="82"/>
    </row>
    <row r="237" spans="1:11" ht="15.95" customHeight="1">
      <c r="A237" s="82"/>
      <c r="B237" s="82"/>
      <c r="C237" s="82"/>
      <c r="D237" s="82"/>
      <c r="E237" s="169"/>
      <c r="F237" s="193"/>
      <c r="G237" s="82"/>
      <c r="H237" s="83"/>
      <c r="I237" s="82"/>
      <c r="J237" s="82"/>
      <c r="K237" s="82"/>
    </row>
    <row r="238" spans="1:11" ht="15.95" customHeight="1">
      <c r="A238" s="82"/>
      <c r="B238" s="82"/>
      <c r="C238" s="82"/>
      <c r="D238" s="82"/>
      <c r="E238" s="169"/>
      <c r="F238" s="193"/>
      <c r="G238" s="82"/>
      <c r="H238" s="83"/>
      <c r="I238" s="82"/>
      <c r="J238" s="82"/>
      <c r="K238" s="82"/>
    </row>
    <row r="239" spans="1:11" ht="15.95" customHeight="1">
      <c r="A239" s="82"/>
      <c r="B239" s="82"/>
      <c r="C239" s="82"/>
      <c r="D239" s="82"/>
      <c r="E239" s="169"/>
      <c r="F239" s="193"/>
      <c r="G239" s="82"/>
      <c r="H239" s="83"/>
      <c r="I239" s="82"/>
      <c r="J239" s="82"/>
      <c r="K239" s="82"/>
    </row>
    <row r="240" spans="1:11" ht="15.95" customHeight="1">
      <c r="A240" s="82"/>
      <c r="B240" s="82"/>
      <c r="C240" s="82"/>
      <c r="D240" s="82"/>
      <c r="E240" s="169"/>
      <c r="F240" s="193"/>
      <c r="G240" s="82"/>
      <c r="H240" s="83"/>
      <c r="I240" s="82"/>
      <c r="J240" s="82"/>
      <c r="K240" s="82"/>
    </row>
    <row r="241" spans="1:11" ht="15.95" customHeight="1">
      <c r="A241" s="82"/>
      <c r="B241" s="82"/>
      <c r="C241" s="82"/>
      <c r="D241" s="82"/>
      <c r="E241" s="169"/>
      <c r="F241" s="193"/>
      <c r="G241" s="82"/>
      <c r="H241" s="83"/>
      <c r="I241" s="82"/>
      <c r="J241" s="82"/>
      <c r="K241" s="82"/>
    </row>
    <row r="242" spans="1:11" ht="15.95" customHeight="1">
      <c r="A242" s="82"/>
      <c r="B242" s="82"/>
      <c r="C242" s="82"/>
      <c r="D242" s="82"/>
      <c r="E242" s="169"/>
      <c r="F242" s="193"/>
      <c r="G242" s="82"/>
      <c r="H242" s="83"/>
      <c r="I242" s="82"/>
      <c r="J242" s="82"/>
      <c r="K242" s="82"/>
    </row>
    <row r="243" spans="1:11" ht="15.95" customHeight="1">
      <c r="A243" s="82"/>
      <c r="B243" s="82"/>
      <c r="C243" s="82"/>
      <c r="D243" s="82"/>
      <c r="E243" s="169"/>
      <c r="F243" s="193"/>
      <c r="G243" s="82"/>
      <c r="H243" s="83"/>
      <c r="I243" s="82"/>
      <c r="J243" s="82"/>
      <c r="K243" s="82"/>
    </row>
  </sheetData>
  <mergeCells count="2">
    <mergeCell ref="B5:C5"/>
    <mergeCell ref="B6:C6"/>
  </mergeCells>
  <conditionalFormatting sqref="B9:B28">
    <cfRule type="expression" dxfId="10" priority="11">
      <formula>H9=1</formula>
    </cfRule>
  </conditionalFormatting>
  <conditionalFormatting sqref="C9:C28">
    <cfRule type="expression" dxfId="9" priority="10">
      <formula>H9=1</formula>
    </cfRule>
  </conditionalFormatting>
  <conditionalFormatting sqref="B31:B44">
    <cfRule type="expression" dxfId="8" priority="9">
      <formula>H31=1</formula>
    </cfRule>
  </conditionalFormatting>
  <conditionalFormatting sqref="C31:C44">
    <cfRule type="expression" dxfId="7" priority="8">
      <formula>H31=1</formula>
    </cfRule>
  </conditionalFormatting>
  <conditionalFormatting sqref="B47:D57">
    <cfRule type="expression" dxfId="6" priority="7">
      <formula>H47=1</formula>
    </cfRule>
  </conditionalFormatting>
  <conditionalFormatting sqref="C47:C57 C55:D57">
    <cfRule type="expression" dxfId="5" priority="6">
      <formula>H47=1</formula>
    </cfRule>
  </conditionalFormatting>
  <conditionalFormatting sqref="D47:D57">
    <cfRule type="expression" dxfId="4" priority="5">
      <formula>H47=1</formula>
    </cfRule>
  </conditionalFormatting>
  <conditionalFormatting sqref="B60:B68">
    <cfRule type="expression" dxfId="3" priority="4">
      <formula>H60=1</formula>
    </cfRule>
  </conditionalFormatting>
  <conditionalFormatting sqref="B33">
    <cfRule type="expression" dxfId="2" priority="3">
      <formula>G33=1</formula>
    </cfRule>
  </conditionalFormatting>
  <conditionalFormatting sqref="B35">
    <cfRule type="expression" dxfId="1" priority="2">
      <formula>G35=1</formula>
    </cfRule>
  </conditionalFormatting>
  <conditionalFormatting sqref="B42">
    <cfRule type="expression" dxfId="0" priority="1">
      <formula>G42=1</formula>
    </cfRule>
  </conditionalFormatting>
  <pageMargins left="0.45" right="0.2" top="0.25" bottom="0.25" header="0.25" footer="0.25"/>
  <pageSetup scale="59" fitToHeight="3" orientation="landscape" r:id="rId1"/>
  <rowBreaks count="2" manualBreakCount="2">
    <brk id="44" max="16383" man="1"/>
    <brk id="68" max="16383" man="1"/>
  </rowBreaks>
  <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A1:AE123"/>
  <sheetViews>
    <sheetView zoomScale="90" zoomScaleNormal="90" workbookViewId="0">
      <selection activeCell="L22" sqref="L1:L1048576"/>
    </sheetView>
  </sheetViews>
  <sheetFormatPr defaultRowHeight="15"/>
  <cols>
    <col min="1" max="1" width="13.140625" style="171" customWidth="1"/>
    <col min="2" max="2" width="10" style="2" customWidth="1"/>
    <col min="3" max="3" width="9.140625" style="2" customWidth="1"/>
    <col min="4" max="4" width="14.5703125" style="2" customWidth="1"/>
    <col min="5" max="5" width="9.140625" style="2" customWidth="1"/>
    <col min="6" max="24" width="9.140625" style="2"/>
    <col min="25" max="25" width="7" style="2" customWidth="1"/>
    <col min="26" max="26" width="5.140625" style="2" customWidth="1"/>
    <col min="27" max="28" width="6.85546875" style="2" customWidth="1"/>
    <col min="29" max="31" width="9.140625" style="2"/>
  </cols>
  <sheetData>
    <row r="1" spans="1:31" s="1" customFormat="1">
      <c r="A1" s="170" t="s">
        <v>43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c r="A2" s="171" t="s">
        <v>157</v>
      </c>
    </row>
    <row r="3" spans="1:31">
      <c r="A3" s="171" t="s">
        <v>44</v>
      </c>
      <c r="B3" s="2" t="s">
        <v>45</v>
      </c>
      <c r="C3" s="2" t="s">
        <v>46</v>
      </c>
      <c r="D3" s="2" t="s">
        <v>47</v>
      </c>
      <c r="E3" s="2" t="s">
        <v>48</v>
      </c>
      <c r="F3" s="2" t="s">
        <v>49</v>
      </c>
      <c r="G3" s="2" t="s">
        <v>50</v>
      </c>
      <c r="H3" s="2" t="s">
        <v>51</v>
      </c>
      <c r="I3" s="2" t="s">
        <v>158</v>
      </c>
      <c r="J3" s="2" t="s">
        <v>52</v>
      </c>
      <c r="K3" s="2" t="s">
        <v>53</v>
      </c>
      <c r="L3" s="2" t="s">
        <v>159</v>
      </c>
      <c r="M3" s="2" t="s">
        <v>54</v>
      </c>
      <c r="N3" s="2" t="s">
        <v>55</v>
      </c>
      <c r="O3" s="2" t="s">
        <v>160</v>
      </c>
      <c r="P3" s="2" t="s">
        <v>161</v>
      </c>
    </row>
    <row r="4" spans="1:31">
      <c r="A4" s="171">
        <v>1</v>
      </c>
      <c r="B4" s="2">
        <v>15</v>
      </c>
      <c r="C4" s="2" t="s">
        <v>56</v>
      </c>
      <c r="D4" s="2" t="s">
        <v>57</v>
      </c>
      <c r="E4" s="2">
        <v>3.89</v>
      </c>
      <c r="F4" s="2">
        <v>4.25</v>
      </c>
      <c r="G4" s="2">
        <v>2.9</v>
      </c>
      <c r="H4" s="2">
        <v>3.72</v>
      </c>
      <c r="I4" s="2">
        <v>1.77</v>
      </c>
      <c r="J4" s="2">
        <v>1.63</v>
      </c>
      <c r="K4" s="2">
        <v>3.45</v>
      </c>
      <c r="L4" s="2">
        <v>1</v>
      </c>
      <c r="M4" s="2">
        <v>1.47</v>
      </c>
      <c r="N4" s="2">
        <v>1.1399999999999999</v>
      </c>
      <c r="O4" s="2">
        <v>2.4</v>
      </c>
      <c r="P4" s="2">
        <v>1.64</v>
      </c>
    </row>
    <row r="5" spans="1:31">
      <c r="A5" s="171">
        <v>1</v>
      </c>
      <c r="B5" s="2">
        <v>15</v>
      </c>
      <c r="C5" s="2" t="s">
        <v>56</v>
      </c>
      <c r="D5" s="2" t="s">
        <v>58</v>
      </c>
      <c r="E5" s="2">
        <v>8.6199999999999992</v>
      </c>
      <c r="F5" s="2">
        <v>19.47</v>
      </c>
      <c r="G5" s="2">
        <v>7.43</v>
      </c>
      <c r="H5" s="2">
        <v>9.11</v>
      </c>
      <c r="I5" s="2">
        <v>2.98</v>
      </c>
      <c r="J5" s="2">
        <v>4.1500000000000004</v>
      </c>
      <c r="K5" s="2">
        <v>12.31</v>
      </c>
      <c r="L5" s="2">
        <v>0</v>
      </c>
      <c r="M5" s="2">
        <v>2.62</v>
      </c>
      <c r="N5" s="2">
        <v>2.14</v>
      </c>
      <c r="O5" s="2">
        <v>6.53</v>
      </c>
      <c r="P5" s="2">
        <v>2.4900000000000002</v>
      </c>
    </row>
    <row r="6" spans="1:31">
      <c r="A6" s="171">
        <v>1</v>
      </c>
      <c r="B6" s="2">
        <v>15</v>
      </c>
      <c r="C6" s="2" t="s">
        <v>56</v>
      </c>
      <c r="D6" s="2" t="s">
        <v>59</v>
      </c>
      <c r="E6" s="2">
        <v>1.89</v>
      </c>
      <c r="F6" s="2">
        <v>2.1800000000000002</v>
      </c>
      <c r="G6" s="2">
        <v>1.93</v>
      </c>
      <c r="H6" s="2">
        <v>1.76</v>
      </c>
      <c r="I6" s="2">
        <v>1.3</v>
      </c>
      <c r="J6" s="2">
        <v>0.88</v>
      </c>
      <c r="K6" s="2">
        <v>0.99</v>
      </c>
      <c r="L6" s="2">
        <v>0.47</v>
      </c>
      <c r="M6" s="2">
        <v>1.1299999999999999</v>
      </c>
      <c r="N6" s="2">
        <v>1.24</v>
      </c>
      <c r="O6" s="2">
        <v>1.67</v>
      </c>
      <c r="P6" s="2">
        <v>1.48</v>
      </c>
    </row>
    <row r="7" spans="1:31">
      <c r="A7" s="171">
        <v>1</v>
      </c>
      <c r="B7" s="2">
        <v>15</v>
      </c>
      <c r="C7" s="2" t="s">
        <v>56</v>
      </c>
      <c r="D7" s="2" t="s">
        <v>60</v>
      </c>
      <c r="E7" s="2">
        <v>1.38</v>
      </c>
      <c r="F7" s="2">
        <v>4.8899999999999997</v>
      </c>
      <c r="G7" s="2">
        <v>10.61</v>
      </c>
      <c r="H7" s="2">
        <v>8.5</v>
      </c>
      <c r="I7" s="2">
        <v>11.34</v>
      </c>
      <c r="J7" s="2">
        <v>14.04</v>
      </c>
      <c r="K7" s="2">
        <v>19.64</v>
      </c>
      <c r="L7" s="2">
        <v>13.07</v>
      </c>
      <c r="M7" s="2">
        <v>0.46</v>
      </c>
      <c r="N7" s="2">
        <v>0.57999999999999996</v>
      </c>
      <c r="O7" s="2">
        <v>0.43</v>
      </c>
      <c r="P7" s="2">
        <v>0.94</v>
      </c>
    </row>
    <row r="8" spans="1:31">
      <c r="A8" s="171">
        <v>2</v>
      </c>
      <c r="B8" s="2">
        <v>15</v>
      </c>
      <c r="C8" s="2" t="s">
        <v>56</v>
      </c>
      <c r="D8" s="2" t="s">
        <v>57</v>
      </c>
      <c r="E8" s="2">
        <v>4.5999999999999996</v>
      </c>
      <c r="F8" s="2">
        <v>5.07</v>
      </c>
      <c r="G8" s="2">
        <v>2.96</v>
      </c>
      <c r="H8" s="2">
        <v>3.35</v>
      </c>
      <c r="I8" s="2">
        <v>1.39</v>
      </c>
      <c r="J8" s="2">
        <v>2.2999999999999998</v>
      </c>
      <c r="K8" s="2">
        <v>3.9</v>
      </c>
      <c r="L8" s="2">
        <v>0.92</v>
      </c>
      <c r="M8" s="2">
        <v>1.71</v>
      </c>
      <c r="N8" s="2">
        <v>1.51</v>
      </c>
      <c r="O8" s="2">
        <v>3.64</v>
      </c>
      <c r="P8" s="2">
        <v>2.12</v>
      </c>
    </row>
    <row r="9" spans="1:31">
      <c r="A9" s="171">
        <v>2</v>
      </c>
      <c r="B9" s="2">
        <v>15</v>
      </c>
      <c r="C9" s="2" t="s">
        <v>56</v>
      </c>
      <c r="D9" s="2" t="s">
        <v>58</v>
      </c>
      <c r="E9" s="2">
        <v>9.69</v>
      </c>
      <c r="F9" s="2">
        <v>20.39</v>
      </c>
      <c r="G9" s="2">
        <v>5.35</v>
      </c>
      <c r="H9" s="2">
        <v>7.38</v>
      </c>
      <c r="I9" s="2">
        <v>1.97</v>
      </c>
      <c r="J9" s="2">
        <v>4.7699999999999996</v>
      </c>
      <c r="K9" s="2">
        <v>13.83</v>
      </c>
      <c r="L9" s="2">
        <v>0</v>
      </c>
      <c r="M9" s="2">
        <v>3.81</v>
      </c>
      <c r="N9" s="2">
        <v>2.76</v>
      </c>
      <c r="O9" s="2">
        <v>10.34</v>
      </c>
      <c r="P9" s="2">
        <v>2.71</v>
      </c>
    </row>
    <row r="10" spans="1:31">
      <c r="A10" s="171">
        <v>2</v>
      </c>
      <c r="B10" s="2">
        <v>15</v>
      </c>
      <c r="C10" s="2" t="s">
        <v>56</v>
      </c>
      <c r="D10" s="2" t="s">
        <v>59</v>
      </c>
      <c r="E10" s="2">
        <v>2.85</v>
      </c>
      <c r="F10" s="2">
        <v>2.04</v>
      </c>
      <c r="G10" s="2">
        <v>1.6</v>
      </c>
      <c r="H10" s="2">
        <v>1.51</v>
      </c>
      <c r="I10" s="2">
        <v>0.68</v>
      </c>
      <c r="J10" s="2">
        <v>1.24</v>
      </c>
      <c r="K10" s="2">
        <v>1.34</v>
      </c>
      <c r="L10" s="2">
        <v>0.38</v>
      </c>
      <c r="M10" s="2">
        <v>1.28</v>
      </c>
      <c r="N10" s="2">
        <v>1.35</v>
      </c>
      <c r="O10" s="2">
        <v>3.02</v>
      </c>
      <c r="P10" s="2">
        <v>2.36</v>
      </c>
    </row>
    <row r="11" spans="1:31">
      <c r="A11" s="171">
        <v>2</v>
      </c>
      <c r="B11" s="2">
        <v>15</v>
      </c>
      <c r="C11" s="2" t="s">
        <v>56</v>
      </c>
      <c r="D11" s="2" t="s">
        <v>60</v>
      </c>
      <c r="E11" s="2">
        <v>1.39</v>
      </c>
      <c r="F11" s="2">
        <v>4.83</v>
      </c>
      <c r="G11" s="2">
        <v>10.57</v>
      </c>
      <c r="H11" s="2">
        <v>8.49</v>
      </c>
      <c r="I11" s="2">
        <v>11.33</v>
      </c>
      <c r="J11" s="2">
        <v>14.14</v>
      </c>
      <c r="K11" s="2">
        <v>19.07</v>
      </c>
      <c r="L11" s="2">
        <v>16.8</v>
      </c>
      <c r="M11" s="2">
        <v>0.46</v>
      </c>
      <c r="N11" s="2">
        <v>0.56999999999999995</v>
      </c>
      <c r="O11" s="2">
        <v>0.43</v>
      </c>
      <c r="P11" s="2">
        <v>0.93</v>
      </c>
    </row>
    <row r="12" spans="1:31">
      <c r="A12" s="171">
        <v>3</v>
      </c>
      <c r="B12" s="2">
        <v>15</v>
      </c>
      <c r="C12" s="2" t="s">
        <v>56</v>
      </c>
      <c r="D12" s="2" t="s">
        <v>57</v>
      </c>
      <c r="E12" s="2">
        <v>4.93</v>
      </c>
      <c r="F12" s="2">
        <v>5.18</v>
      </c>
      <c r="G12" s="2">
        <v>4.1500000000000004</v>
      </c>
      <c r="H12" s="2">
        <v>4.68</v>
      </c>
      <c r="I12" s="2">
        <v>2.63</v>
      </c>
      <c r="J12" s="2">
        <v>2.77</v>
      </c>
      <c r="K12" s="2">
        <v>4.26</v>
      </c>
      <c r="L12" s="2">
        <v>1.0900000000000001</v>
      </c>
      <c r="M12" s="2">
        <v>1.25</v>
      </c>
      <c r="N12" s="2">
        <v>1.1100000000000001</v>
      </c>
      <c r="O12" s="2">
        <v>1.97</v>
      </c>
      <c r="P12" s="2">
        <v>1.58</v>
      </c>
    </row>
    <row r="13" spans="1:31">
      <c r="A13" s="171">
        <v>3</v>
      </c>
      <c r="B13" s="2">
        <v>15</v>
      </c>
      <c r="C13" s="2" t="s">
        <v>56</v>
      </c>
      <c r="D13" s="2" t="s">
        <v>58</v>
      </c>
      <c r="E13" s="2">
        <v>7.79</v>
      </c>
      <c r="F13" s="2">
        <v>16.47</v>
      </c>
      <c r="G13" s="2">
        <v>6.42</v>
      </c>
      <c r="H13" s="2">
        <v>13.43</v>
      </c>
      <c r="I13" s="2">
        <v>2.29</v>
      </c>
      <c r="J13" s="2">
        <v>5.37</v>
      </c>
      <c r="K13" s="2">
        <v>11.27</v>
      </c>
      <c r="L13" s="2">
        <v>7.0000000000000007E-2</v>
      </c>
      <c r="M13" s="2">
        <v>2.57</v>
      </c>
      <c r="N13" s="2">
        <v>1.23</v>
      </c>
      <c r="O13" s="2">
        <v>7.18</v>
      </c>
      <c r="P13" s="2">
        <v>2.8</v>
      </c>
    </row>
    <row r="14" spans="1:31">
      <c r="A14" s="171">
        <v>3</v>
      </c>
      <c r="B14" s="2">
        <v>15</v>
      </c>
      <c r="C14" s="2" t="s">
        <v>56</v>
      </c>
      <c r="D14" s="2" t="s">
        <v>59</v>
      </c>
      <c r="E14" s="2">
        <v>3.08</v>
      </c>
      <c r="F14" s="2">
        <v>2.75</v>
      </c>
      <c r="G14" s="2">
        <v>2.58</v>
      </c>
      <c r="H14" s="2">
        <v>2.25</v>
      </c>
      <c r="I14" s="2">
        <v>0.95</v>
      </c>
      <c r="J14" s="2">
        <v>1.37</v>
      </c>
      <c r="K14" s="2">
        <v>1.9</v>
      </c>
      <c r="L14" s="2">
        <v>0.53</v>
      </c>
      <c r="M14" s="2">
        <v>1.07</v>
      </c>
      <c r="N14" s="2">
        <v>1.23</v>
      </c>
      <c r="O14" s="2">
        <v>2.9</v>
      </c>
      <c r="P14" s="2">
        <v>2.72</v>
      </c>
    </row>
    <row r="15" spans="1:31">
      <c r="A15" s="171">
        <v>3</v>
      </c>
      <c r="B15" s="2">
        <v>15</v>
      </c>
      <c r="C15" s="2" t="s">
        <v>56</v>
      </c>
      <c r="D15" s="2" t="s">
        <v>60</v>
      </c>
      <c r="E15" s="2">
        <v>1.45</v>
      </c>
      <c r="F15" s="2">
        <v>4.78</v>
      </c>
      <c r="G15" s="2">
        <v>10.45</v>
      </c>
      <c r="H15" s="2">
        <v>8.61</v>
      </c>
      <c r="I15" s="2">
        <v>11.31</v>
      </c>
      <c r="J15" s="2">
        <v>14.14</v>
      </c>
      <c r="K15" s="2">
        <v>18.670000000000002</v>
      </c>
      <c r="L15" s="2">
        <v>26.27</v>
      </c>
      <c r="M15" s="2">
        <v>0.46</v>
      </c>
      <c r="N15" s="2">
        <v>0.56000000000000005</v>
      </c>
      <c r="O15" s="2">
        <v>0.42</v>
      </c>
      <c r="P15" s="2">
        <v>0.92</v>
      </c>
    </row>
    <row r="16" spans="1:31">
      <c r="A16" s="171">
        <v>4</v>
      </c>
      <c r="B16" s="2">
        <v>15</v>
      </c>
      <c r="C16" s="2" t="s">
        <v>56</v>
      </c>
      <c r="D16" s="2" t="s">
        <v>57</v>
      </c>
      <c r="E16" s="2">
        <v>6.44</v>
      </c>
      <c r="F16" s="2">
        <v>5.91</v>
      </c>
      <c r="G16" s="2">
        <v>2.87</v>
      </c>
      <c r="H16" s="2">
        <v>1.84</v>
      </c>
      <c r="I16" s="2">
        <v>2.27</v>
      </c>
      <c r="J16" s="2">
        <v>1.75</v>
      </c>
      <c r="K16" s="2">
        <v>2.73</v>
      </c>
      <c r="L16" s="2">
        <v>1.35</v>
      </c>
      <c r="M16" s="2">
        <v>2.06</v>
      </c>
      <c r="N16" s="2">
        <v>3.21</v>
      </c>
      <c r="O16" s="2">
        <v>2.6</v>
      </c>
      <c r="P16" s="2">
        <v>1.26</v>
      </c>
    </row>
    <row r="17" spans="1:16">
      <c r="A17" s="171">
        <v>4</v>
      </c>
      <c r="B17" s="2">
        <v>15</v>
      </c>
      <c r="C17" s="2" t="s">
        <v>56</v>
      </c>
      <c r="D17" s="2" t="s">
        <v>58</v>
      </c>
      <c r="E17" s="2">
        <v>13.41</v>
      </c>
      <c r="F17" s="2">
        <v>21.72</v>
      </c>
      <c r="G17" s="2">
        <v>7.03</v>
      </c>
      <c r="H17" s="2">
        <v>4.05</v>
      </c>
      <c r="I17" s="2">
        <v>2.83</v>
      </c>
      <c r="J17" s="2">
        <v>2.85</v>
      </c>
      <c r="K17" s="2">
        <v>9.1300000000000008</v>
      </c>
      <c r="L17" s="2">
        <v>1.84</v>
      </c>
      <c r="M17" s="2">
        <v>3.09</v>
      </c>
      <c r="N17" s="2">
        <v>5.36</v>
      </c>
      <c r="O17" s="2">
        <v>7.68</v>
      </c>
      <c r="P17" s="2">
        <v>2.4900000000000002</v>
      </c>
    </row>
    <row r="18" spans="1:16">
      <c r="A18" s="171">
        <v>4</v>
      </c>
      <c r="B18" s="2">
        <v>15</v>
      </c>
      <c r="C18" s="2" t="s">
        <v>56</v>
      </c>
      <c r="D18" s="2" t="s">
        <v>59</v>
      </c>
      <c r="E18" s="2">
        <v>4.3</v>
      </c>
      <c r="F18" s="2">
        <v>3.07</v>
      </c>
      <c r="G18" s="2">
        <v>1.54</v>
      </c>
      <c r="H18" s="2">
        <v>0.95</v>
      </c>
      <c r="I18" s="2">
        <v>1.06</v>
      </c>
      <c r="J18" s="2">
        <v>1.28</v>
      </c>
      <c r="K18" s="2">
        <v>1.59</v>
      </c>
      <c r="L18" s="2">
        <v>0.97</v>
      </c>
      <c r="M18" s="2">
        <v>2</v>
      </c>
      <c r="N18" s="2">
        <v>3.23</v>
      </c>
      <c r="O18" s="2">
        <v>2.9</v>
      </c>
      <c r="P18" s="2">
        <v>1.45</v>
      </c>
    </row>
    <row r="19" spans="1:16">
      <c r="A19" s="171">
        <v>4</v>
      </c>
      <c r="B19" s="2">
        <v>15</v>
      </c>
      <c r="C19" s="2" t="s">
        <v>56</v>
      </c>
      <c r="D19" s="2" t="s">
        <v>60</v>
      </c>
      <c r="E19" s="2">
        <v>1.37</v>
      </c>
      <c r="F19" s="2">
        <v>4.6500000000000004</v>
      </c>
      <c r="G19" s="2">
        <v>10.85</v>
      </c>
      <c r="H19" s="2">
        <v>8.4700000000000006</v>
      </c>
      <c r="I19" s="2">
        <v>11.36</v>
      </c>
      <c r="J19" s="2">
        <v>13.93</v>
      </c>
      <c r="K19" s="2">
        <v>18.760000000000002</v>
      </c>
      <c r="L19" s="2">
        <v>24.08</v>
      </c>
      <c r="M19" s="2">
        <v>0.43</v>
      </c>
      <c r="N19" s="2">
        <v>0.55000000000000004</v>
      </c>
      <c r="O19" s="2">
        <v>0.41</v>
      </c>
      <c r="P19" s="2">
        <v>0.96</v>
      </c>
    </row>
    <row r="20" spans="1:16">
      <c r="A20" s="171">
        <v>5</v>
      </c>
      <c r="B20" s="2">
        <v>15</v>
      </c>
      <c r="C20" s="2" t="s">
        <v>56</v>
      </c>
      <c r="D20" s="2" t="s">
        <v>57</v>
      </c>
      <c r="E20" s="2">
        <v>4.4400000000000004</v>
      </c>
      <c r="F20" s="2">
        <v>6</v>
      </c>
      <c r="G20" s="2">
        <v>2.69</v>
      </c>
      <c r="H20" s="2">
        <v>1.92</v>
      </c>
      <c r="I20" s="2">
        <v>1.49</v>
      </c>
      <c r="J20" s="2">
        <v>1.91</v>
      </c>
      <c r="K20" s="2">
        <v>3.35</v>
      </c>
      <c r="L20" s="2">
        <v>1.93</v>
      </c>
      <c r="M20" s="2">
        <v>2.23</v>
      </c>
      <c r="N20" s="2">
        <v>3.12</v>
      </c>
      <c r="O20" s="2">
        <v>4.0199999999999996</v>
      </c>
      <c r="P20" s="2">
        <v>1.8</v>
      </c>
    </row>
    <row r="21" spans="1:16">
      <c r="A21" s="171">
        <v>5</v>
      </c>
      <c r="B21" s="2">
        <v>15</v>
      </c>
      <c r="C21" s="2" t="s">
        <v>56</v>
      </c>
      <c r="D21" s="2" t="s">
        <v>58</v>
      </c>
      <c r="E21" s="2">
        <v>10.51</v>
      </c>
      <c r="F21" s="2">
        <v>22.49</v>
      </c>
      <c r="G21" s="2">
        <v>6.33</v>
      </c>
      <c r="H21" s="2">
        <v>4.8</v>
      </c>
      <c r="I21" s="2">
        <v>3.23</v>
      </c>
      <c r="J21" s="2">
        <v>3.67</v>
      </c>
      <c r="K21" s="2">
        <v>10.99</v>
      </c>
      <c r="L21" s="2">
        <v>1.59</v>
      </c>
      <c r="M21" s="2">
        <v>3.55</v>
      </c>
      <c r="N21" s="2">
        <v>4.68</v>
      </c>
      <c r="O21" s="2">
        <v>6.97</v>
      </c>
      <c r="P21" s="2">
        <v>1.96</v>
      </c>
    </row>
    <row r="22" spans="1:16">
      <c r="A22" s="171">
        <v>5</v>
      </c>
      <c r="B22" s="2">
        <v>15</v>
      </c>
      <c r="C22" s="2" t="s">
        <v>56</v>
      </c>
      <c r="D22" s="2" t="s">
        <v>59</v>
      </c>
      <c r="E22" s="2">
        <v>3.38</v>
      </c>
      <c r="F22" s="2">
        <v>3.64</v>
      </c>
      <c r="G22" s="2">
        <v>1.1100000000000001</v>
      </c>
      <c r="H22" s="2">
        <v>0.94</v>
      </c>
      <c r="I22" s="2">
        <v>0.75</v>
      </c>
      <c r="J22" s="2">
        <v>1.28</v>
      </c>
      <c r="K22" s="2">
        <v>2.56</v>
      </c>
      <c r="L22" s="2">
        <v>1.69</v>
      </c>
      <c r="M22" s="2">
        <v>3.28</v>
      </c>
      <c r="N22" s="2">
        <v>3.89</v>
      </c>
      <c r="O22" s="2">
        <v>4.88</v>
      </c>
      <c r="P22" s="2">
        <v>1.49</v>
      </c>
    </row>
    <row r="23" spans="1:16">
      <c r="A23" s="171">
        <v>5</v>
      </c>
      <c r="B23" s="2">
        <v>15</v>
      </c>
      <c r="C23" s="2" t="s">
        <v>56</v>
      </c>
      <c r="D23" s="2" t="s">
        <v>60</v>
      </c>
      <c r="E23" s="2">
        <v>1.37</v>
      </c>
      <c r="F23" s="2">
        <v>4.66</v>
      </c>
      <c r="G23" s="2">
        <v>10.82</v>
      </c>
      <c r="H23" s="2">
        <v>8.4600000000000009</v>
      </c>
      <c r="I23" s="2">
        <v>11.49</v>
      </c>
      <c r="J23" s="2">
        <v>13.79</v>
      </c>
      <c r="K23" s="2">
        <v>19.190000000000001</v>
      </c>
      <c r="L23" s="2">
        <v>26.04</v>
      </c>
      <c r="M23" s="2">
        <v>0.43</v>
      </c>
      <c r="N23" s="2">
        <v>0.55000000000000004</v>
      </c>
      <c r="O23" s="2">
        <v>0.41</v>
      </c>
      <c r="P23" s="2">
        <v>0.94</v>
      </c>
    </row>
    <row r="24" spans="1:16">
      <c r="A24" s="171">
        <v>6</v>
      </c>
      <c r="B24" s="2">
        <v>15</v>
      </c>
      <c r="C24" s="2" t="s">
        <v>56</v>
      </c>
      <c r="D24" s="2" t="s">
        <v>57</v>
      </c>
      <c r="E24" s="2">
        <v>4.7699999999999996</v>
      </c>
      <c r="F24" s="2">
        <v>5.67</v>
      </c>
      <c r="G24" s="2">
        <v>3.01</v>
      </c>
      <c r="H24" s="2">
        <v>1.17</v>
      </c>
      <c r="I24" s="2">
        <v>1.73</v>
      </c>
      <c r="J24" s="2">
        <v>1.73</v>
      </c>
      <c r="K24" s="2">
        <v>2.67</v>
      </c>
      <c r="L24" s="2">
        <v>0.81</v>
      </c>
      <c r="M24" s="2">
        <v>1.88</v>
      </c>
      <c r="N24" s="2">
        <v>4.8600000000000003</v>
      </c>
      <c r="O24" s="2">
        <v>3.27</v>
      </c>
      <c r="P24" s="2">
        <v>1.74</v>
      </c>
    </row>
    <row r="25" spans="1:16">
      <c r="A25" s="171">
        <v>6</v>
      </c>
      <c r="B25" s="2">
        <v>15</v>
      </c>
      <c r="C25" s="2" t="s">
        <v>56</v>
      </c>
      <c r="D25" s="2" t="s">
        <v>58</v>
      </c>
      <c r="E25" s="2">
        <v>13.12</v>
      </c>
      <c r="F25" s="2">
        <v>20.71</v>
      </c>
      <c r="G25" s="2">
        <v>7.59</v>
      </c>
      <c r="H25" s="2">
        <v>4.25</v>
      </c>
      <c r="I25" s="2">
        <v>3.65</v>
      </c>
      <c r="J25" s="2">
        <v>2.95</v>
      </c>
      <c r="K25" s="2">
        <v>8.1300000000000008</v>
      </c>
      <c r="L25" s="2">
        <v>0.11</v>
      </c>
      <c r="M25" s="2">
        <v>2.73</v>
      </c>
      <c r="N25" s="2">
        <v>4.87</v>
      </c>
      <c r="O25" s="2">
        <v>5.68</v>
      </c>
      <c r="P25" s="2">
        <v>2.08</v>
      </c>
    </row>
    <row r="26" spans="1:16">
      <c r="A26" s="171">
        <v>6</v>
      </c>
      <c r="B26" s="2">
        <v>15</v>
      </c>
      <c r="C26" s="2" t="s">
        <v>56</v>
      </c>
      <c r="D26" s="2" t="s">
        <v>59</v>
      </c>
      <c r="E26" s="2">
        <v>1.92</v>
      </c>
      <c r="F26" s="2">
        <v>3.23</v>
      </c>
      <c r="G26" s="2">
        <v>1.46</v>
      </c>
      <c r="H26" s="2">
        <v>1.08</v>
      </c>
      <c r="I26" s="2">
        <v>1.35</v>
      </c>
      <c r="J26" s="2">
        <v>1.31</v>
      </c>
      <c r="K26" s="2">
        <v>1.1599999999999999</v>
      </c>
      <c r="L26" s="2">
        <v>0.57999999999999996</v>
      </c>
      <c r="M26" s="2">
        <v>2.21</v>
      </c>
      <c r="N26" s="2">
        <v>2.99</v>
      </c>
      <c r="O26" s="2">
        <v>2.4</v>
      </c>
      <c r="P26" s="2">
        <v>1.0900000000000001</v>
      </c>
    </row>
    <row r="27" spans="1:16">
      <c r="A27" s="171">
        <v>6</v>
      </c>
      <c r="B27" s="2">
        <v>15</v>
      </c>
      <c r="C27" s="2" t="s">
        <v>56</v>
      </c>
      <c r="D27" s="2" t="s">
        <v>60</v>
      </c>
      <c r="E27" s="2">
        <v>1.34</v>
      </c>
      <c r="F27" s="2">
        <v>4.55</v>
      </c>
      <c r="G27" s="2">
        <v>10.9</v>
      </c>
      <c r="H27" s="2">
        <v>8.56</v>
      </c>
      <c r="I27" s="2">
        <v>11.43</v>
      </c>
      <c r="J27" s="2">
        <v>13.71</v>
      </c>
      <c r="K27" s="2">
        <v>19.329999999999998</v>
      </c>
      <c r="L27" s="2">
        <v>15.17</v>
      </c>
      <c r="M27" s="2">
        <v>0.42</v>
      </c>
      <c r="N27" s="2">
        <v>0.53</v>
      </c>
      <c r="O27" s="2">
        <v>0.4</v>
      </c>
      <c r="P27" s="2">
        <v>0.95</v>
      </c>
    </row>
    <row r="28" spans="1:16">
      <c r="A28" s="171">
        <v>7</v>
      </c>
      <c r="B28" s="2">
        <v>15</v>
      </c>
      <c r="C28" s="2" t="s">
        <v>56</v>
      </c>
      <c r="D28" s="2" t="s">
        <v>57</v>
      </c>
      <c r="E28" s="2">
        <v>5.48</v>
      </c>
      <c r="F28" s="2">
        <v>5.03</v>
      </c>
      <c r="G28" s="2">
        <v>2.88</v>
      </c>
      <c r="H28" s="2">
        <v>2.59</v>
      </c>
      <c r="I28" s="2">
        <v>1.8</v>
      </c>
      <c r="J28" s="2">
        <v>1.49</v>
      </c>
      <c r="K28" s="2">
        <v>3.13</v>
      </c>
      <c r="L28" s="2">
        <v>0.88</v>
      </c>
      <c r="M28" s="2">
        <v>1.75</v>
      </c>
      <c r="N28" s="2">
        <v>1.95</v>
      </c>
      <c r="O28" s="2">
        <v>2.8</v>
      </c>
      <c r="P28" s="2">
        <v>1.6</v>
      </c>
    </row>
    <row r="29" spans="1:16">
      <c r="A29" s="171">
        <v>7</v>
      </c>
      <c r="B29" s="2">
        <v>15</v>
      </c>
      <c r="C29" s="2" t="s">
        <v>56</v>
      </c>
      <c r="D29" s="2" t="s">
        <v>58</v>
      </c>
      <c r="E29" s="2">
        <v>13.41</v>
      </c>
      <c r="F29" s="2">
        <v>18.97</v>
      </c>
      <c r="G29" s="2">
        <v>8.09</v>
      </c>
      <c r="H29" s="2">
        <v>4.6100000000000003</v>
      </c>
      <c r="I29" s="2">
        <v>3.61</v>
      </c>
      <c r="J29" s="2">
        <v>2.5099999999999998</v>
      </c>
      <c r="K29" s="2">
        <v>8.27</v>
      </c>
      <c r="L29" s="2">
        <v>0</v>
      </c>
      <c r="M29" s="2">
        <v>2.35</v>
      </c>
      <c r="N29" s="2">
        <v>4.1100000000000003</v>
      </c>
      <c r="O29" s="2">
        <v>5.26</v>
      </c>
      <c r="P29" s="2">
        <v>2.2400000000000002</v>
      </c>
    </row>
    <row r="30" spans="1:16">
      <c r="A30" s="171">
        <v>7</v>
      </c>
      <c r="B30" s="2">
        <v>15</v>
      </c>
      <c r="C30" s="2" t="s">
        <v>56</v>
      </c>
      <c r="D30" s="2" t="s">
        <v>59</v>
      </c>
      <c r="E30" s="2">
        <v>2.4700000000000002</v>
      </c>
      <c r="F30" s="2">
        <v>2.41</v>
      </c>
      <c r="G30" s="2">
        <v>1.89</v>
      </c>
      <c r="H30" s="2">
        <v>1.77</v>
      </c>
      <c r="I30" s="2">
        <v>0.81</v>
      </c>
      <c r="J30" s="2">
        <v>0.78</v>
      </c>
      <c r="K30" s="2">
        <v>2.5499999999999998</v>
      </c>
      <c r="L30" s="2">
        <v>0.43</v>
      </c>
      <c r="M30" s="2">
        <v>1.28</v>
      </c>
      <c r="N30" s="2">
        <v>1.36</v>
      </c>
      <c r="O30" s="2">
        <v>2.98</v>
      </c>
      <c r="P30" s="2">
        <v>2.33</v>
      </c>
    </row>
    <row r="31" spans="1:16">
      <c r="A31" s="171">
        <v>7</v>
      </c>
      <c r="B31" s="2">
        <v>15</v>
      </c>
      <c r="C31" s="2" t="s">
        <v>56</v>
      </c>
      <c r="D31" s="2" t="s">
        <v>60</v>
      </c>
      <c r="E31" s="2">
        <v>1.35</v>
      </c>
      <c r="F31" s="2">
        <v>4.58</v>
      </c>
      <c r="G31" s="2">
        <v>10.93</v>
      </c>
      <c r="H31" s="2">
        <v>8.4700000000000006</v>
      </c>
      <c r="I31" s="2">
        <v>11.42</v>
      </c>
      <c r="J31" s="2">
        <v>13.55</v>
      </c>
      <c r="K31" s="2">
        <v>19.39</v>
      </c>
      <c r="L31" s="2">
        <v>7.47</v>
      </c>
      <c r="M31" s="2">
        <v>0.42</v>
      </c>
      <c r="N31" s="2">
        <v>0.54</v>
      </c>
      <c r="O31" s="2">
        <v>0.4</v>
      </c>
      <c r="P31" s="2">
        <v>0.96</v>
      </c>
    </row>
    <row r="32" spans="1:16">
      <c r="A32" s="171">
        <v>8</v>
      </c>
      <c r="B32" s="2">
        <v>15</v>
      </c>
      <c r="C32" s="2" t="s">
        <v>56</v>
      </c>
      <c r="D32" s="2" t="s">
        <v>57</v>
      </c>
      <c r="E32" s="2">
        <v>5.33</v>
      </c>
      <c r="F32" s="2">
        <v>5.19</v>
      </c>
      <c r="G32" s="2">
        <v>3.19</v>
      </c>
      <c r="H32" s="2">
        <v>3.25</v>
      </c>
      <c r="I32" s="2">
        <v>1.63</v>
      </c>
      <c r="J32" s="2">
        <v>1.71</v>
      </c>
      <c r="K32" s="2">
        <v>4.47</v>
      </c>
      <c r="L32" s="2">
        <v>1.54</v>
      </c>
      <c r="M32" s="2">
        <v>1.63</v>
      </c>
      <c r="N32" s="2">
        <v>1.6</v>
      </c>
      <c r="O32" s="2">
        <v>3.18</v>
      </c>
      <c r="P32" s="2">
        <v>1.95</v>
      </c>
    </row>
    <row r="33" spans="1:16">
      <c r="A33" s="171">
        <v>8</v>
      </c>
      <c r="B33" s="2">
        <v>15</v>
      </c>
      <c r="C33" s="2" t="s">
        <v>56</v>
      </c>
      <c r="D33" s="2" t="s">
        <v>58</v>
      </c>
      <c r="E33" s="2">
        <v>11.37</v>
      </c>
      <c r="F33" s="2">
        <v>18.73</v>
      </c>
      <c r="G33" s="2">
        <v>5.67</v>
      </c>
      <c r="H33" s="2">
        <v>6.83</v>
      </c>
      <c r="I33" s="2">
        <v>2.0299999999999998</v>
      </c>
      <c r="J33" s="2">
        <v>3.99</v>
      </c>
      <c r="K33" s="2">
        <v>13.51</v>
      </c>
      <c r="L33" s="2">
        <v>1.05</v>
      </c>
      <c r="M33" s="2">
        <v>3.3</v>
      </c>
      <c r="N33" s="2">
        <v>2.74</v>
      </c>
      <c r="O33" s="2">
        <v>9.2100000000000009</v>
      </c>
      <c r="P33" s="2">
        <v>2.79</v>
      </c>
    </row>
    <row r="34" spans="1:16">
      <c r="A34" s="171">
        <v>8</v>
      </c>
      <c r="B34" s="2">
        <v>15</v>
      </c>
      <c r="C34" s="2" t="s">
        <v>56</v>
      </c>
      <c r="D34" s="2" t="s">
        <v>59</v>
      </c>
      <c r="E34" s="2">
        <v>4.3499999999999996</v>
      </c>
      <c r="F34" s="2">
        <v>3.07</v>
      </c>
      <c r="G34" s="2">
        <v>1.62</v>
      </c>
      <c r="H34" s="2">
        <v>1.74</v>
      </c>
      <c r="I34" s="2">
        <v>0.9</v>
      </c>
      <c r="J34" s="2">
        <v>0.81</v>
      </c>
      <c r="K34" s="2">
        <v>3.35</v>
      </c>
      <c r="L34" s="2">
        <v>1.46</v>
      </c>
      <c r="M34" s="2">
        <v>1.9</v>
      </c>
      <c r="N34" s="2">
        <v>1.77</v>
      </c>
      <c r="O34" s="2">
        <v>3.4</v>
      </c>
      <c r="P34" s="2">
        <v>1.79</v>
      </c>
    </row>
    <row r="35" spans="1:16">
      <c r="A35" s="171">
        <v>8</v>
      </c>
      <c r="B35" s="2">
        <v>15</v>
      </c>
      <c r="C35" s="2" t="s">
        <v>56</v>
      </c>
      <c r="D35" s="2" t="s">
        <v>60</v>
      </c>
      <c r="E35" s="2">
        <v>1.38</v>
      </c>
      <c r="F35" s="2">
        <v>4.8499999999999996</v>
      </c>
      <c r="G35" s="2">
        <v>10.66</v>
      </c>
      <c r="H35" s="2">
        <v>8.4700000000000006</v>
      </c>
      <c r="I35" s="2">
        <v>11.31</v>
      </c>
      <c r="J35" s="2">
        <v>14.07</v>
      </c>
      <c r="K35" s="2">
        <v>19.28</v>
      </c>
      <c r="L35" s="2">
        <v>17.739999999999998</v>
      </c>
      <c r="M35" s="2">
        <v>0.45</v>
      </c>
      <c r="N35" s="2">
        <v>0.56999999999999995</v>
      </c>
      <c r="O35" s="2">
        <v>0.43</v>
      </c>
      <c r="P35" s="2">
        <v>0.94</v>
      </c>
    </row>
    <row r="36" spans="1:16">
      <c r="A36" s="171">
        <v>9</v>
      </c>
      <c r="B36" s="2">
        <v>15</v>
      </c>
      <c r="C36" s="2" t="s">
        <v>56</v>
      </c>
      <c r="D36" s="2" t="s">
        <v>57</v>
      </c>
      <c r="E36" s="2">
        <v>6.4</v>
      </c>
      <c r="F36" s="2">
        <v>4.62</v>
      </c>
      <c r="G36" s="2">
        <v>4.01</v>
      </c>
      <c r="H36" s="2">
        <v>5.12</v>
      </c>
      <c r="I36" s="2">
        <v>1.96</v>
      </c>
      <c r="J36" s="2">
        <v>2.33</v>
      </c>
      <c r="K36" s="2">
        <v>4.7300000000000004</v>
      </c>
      <c r="L36" s="2">
        <v>1.93</v>
      </c>
      <c r="M36" s="2">
        <v>1.1499999999999999</v>
      </c>
      <c r="N36" s="2">
        <v>0.9</v>
      </c>
      <c r="O36" s="2">
        <v>2.36</v>
      </c>
      <c r="P36" s="2">
        <v>2.04</v>
      </c>
    </row>
    <row r="37" spans="1:16">
      <c r="A37" s="171">
        <v>9</v>
      </c>
      <c r="B37" s="2">
        <v>15</v>
      </c>
      <c r="C37" s="2" t="s">
        <v>56</v>
      </c>
      <c r="D37" s="2" t="s">
        <v>58</v>
      </c>
      <c r="E37" s="2">
        <v>10.62</v>
      </c>
      <c r="F37" s="2">
        <v>15.99</v>
      </c>
      <c r="G37" s="2">
        <v>5.7</v>
      </c>
      <c r="H37" s="2">
        <v>7.47</v>
      </c>
      <c r="I37" s="2">
        <v>1.95</v>
      </c>
      <c r="J37" s="2">
        <v>2.62</v>
      </c>
      <c r="K37" s="2">
        <v>13.83</v>
      </c>
      <c r="L37" s="2">
        <v>2.4500000000000002</v>
      </c>
      <c r="M37" s="2">
        <v>2.8</v>
      </c>
      <c r="N37" s="2">
        <v>2.14</v>
      </c>
      <c r="O37" s="2">
        <v>8.2100000000000009</v>
      </c>
      <c r="P37" s="2">
        <v>2.93</v>
      </c>
    </row>
    <row r="38" spans="1:16">
      <c r="A38" s="171">
        <v>9</v>
      </c>
      <c r="B38" s="2">
        <v>15</v>
      </c>
      <c r="C38" s="2" t="s">
        <v>56</v>
      </c>
      <c r="D38" s="2" t="s">
        <v>59</v>
      </c>
      <c r="E38" s="2">
        <v>4.6900000000000004</v>
      </c>
      <c r="F38" s="2">
        <v>4.08</v>
      </c>
      <c r="G38" s="2">
        <v>1.48</v>
      </c>
      <c r="H38" s="2">
        <v>4.3499999999999996</v>
      </c>
      <c r="I38" s="2">
        <v>0.96</v>
      </c>
      <c r="J38" s="2">
        <v>1.39</v>
      </c>
      <c r="K38" s="2">
        <v>2.67</v>
      </c>
      <c r="L38" s="2">
        <v>1.95</v>
      </c>
      <c r="M38" s="2">
        <v>2.76</v>
      </c>
      <c r="N38" s="2">
        <v>0.94</v>
      </c>
      <c r="O38" s="2">
        <v>4.26</v>
      </c>
      <c r="P38" s="2">
        <v>1.54</v>
      </c>
    </row>
    <row r="39" spans="1:16">
      <c r="A39" s="171">
        <v>9</v>
      </c>
      <c r="B39" s="2">
        <v>15</v>
      </c>
      <c r="C39" s="2" t="s">
        <v>56</v>
      </c>
      <c r="D39" s="2" t="s">
        <v>60</v>
      </c>
      <c r="E39" s="2">
        <v>1.34</v>
      </c>
      <c r="F39" s="2">
        <v>4.58</v>
      </c>
      <c r="G39" s="2">
        <v>10.68</v>
      </c>
      <c r="H39" s="2">
        <v>8.51</v>
      </c>
      <c r="I39" s="2">
        <v>11.31</v>
      </c>
      <c r="J39" s="2">
        <v>13.73</v>
      </c>
      <c r="K39" s="2">
        <v>19.829999999999998</v>
      </c>
      <c r="L39" s="2">
        <v>22.87</v>
      </c>
      <c r="M39" s="2">
        <v>0.43</v>
      </c>
      <c r="N39" s="2">
        <v>0.54</v>
      </c>
      <c r="O39" s="2">
        <v>0.4</v>
      </c>
      <c r="P39" s="2">
        <v>0.94</v>
      </c>
    </row>
    <row r="40" spans="1:16">
      <c r="A40" s="171">
        <v>10</v>
      </c>
      <c r="B40" s="2">
        <v>15</v>
      </c>
      <c r="C40" s="2" t="s">
        <v>56</v>
      </c>
      <c r="D40" s="2" t="s">
        <v>57</v>
      </c>
      <c r="E40" s="2">
        <v>4.05</v>
      </c>
      <c r="F40" s="2">
        <v>4.3499999999999996</v>
      </c>
      <c r="G40" s="2">
        <v>3.37</v>
      </c>
      <c r="H40" s="2">
        <v>3.49</v>
      </c>
      <c r="I40" s="2">
        <v>1.64</v>
      </c>
      <c r="J40" s="2">
        <v>2.06</v>
      </c>
      <c r="K40" s="2">
        <v>3.87</v>
      </c>
      <c r="L40" s="2">
        <v>1.65</v>
      </c>
      <c r="M40" s="2">
        <v>1.29</v>
      </c>
      <c r="N40" s="2">
        <v>1.24</v>
      </c>
      <c r="O40" s="2">
        <v>2.65</v>
      </c>
      <c r="P40" s="2">
        <v>2.0499999999999998</v>
      </c>
    </row>
    <row r="41" spans="1:16">
      <c r="A41" s="171">
        <v>10</v>
      </c>
      <c r="B41" s="2">
        <v>15</v>
      </c>
      <c r="C41" s="2" t="s">
        <v>56</v>
      </c>
      <c r="D41" s="2" t="s">
        <v>58</v>
      </c>
      <c r="E41" s="2">
        <v>9.17</v>
      </c>
      <c r="F41" s="2">
        <v>15.35</v>
      </c>
      <c r="G41" s="2">
        <v>7.02</v>
      </c>
      <c r="H41" s="2">
        <v>8.49</v>
      </c>
      <c r="I41" s="2">
        <v>2.36</v>
      </c>
      <c r="J41" s="2">
        <v>3.31</v>
      </c>
      <c r="K41" s="2">
        <v>14.79</v>
      </c>
      <c r="L41" s="2">
        <v>0.92</v>
      </c>
      <c r="M41" s="2">
        <v>2.19</v>
      </c>
      <c r="N41" s="2">
        <v>1.81</v>
      </c>
      <c r="O41" s="2">
        <v>6.51</v>
      </c>
      <c r="P41" s="2">
        <v>2.97</v>
      </c>
    </row>
    <row r="42" spans="1:16">
      <c r="A42" s="171">
        <v>10</v>
      </c>
      <c r="B42" s="2">
        <v>15</v>
      </c>
      <c r="C42" s="2" t="s">
        <v>56</v>
      </c>
      <c r="D42" s="2" t="s">
        <v>59</v>
      </c>
      <c r="E42" s="2">
        <v>2.44</v>
      </c>
      <c r="F42" s="2">
        <v>2.5499999999999998</v>
      </c>
      <c r="G42" s="2">
        <v>1.58</v>
      </c>
      <c r="H42" s="2">
        <v>2.4900000000000002</v>
      </c>
      <c r="I42" s="2">
        <v>0.78</v>
      </c>
      <c r="J42" s="2">
        <v>1.42</v>
      </c>
      <c r="K42" s="2">
        <v>2.36</v>
      </c>
      <c r="L42" s="2">
        <v>1.67</v>
      </c>
      <c r="M42" s="2">
        <v>1.61</v>
      </c>
      <c r="N42" s="2">
        <v>1.02</v>
      </c>
      <c r="O42" s="2">
        <v>3.26</v>
      </c>
      <c r="P42" s="2">
        <v>2.02</v>
      </c>
    </row>
    <row r="43" spans="1:16">
      <c r="A43" s="171">
        <v>10</v>
      </c>
      <c r="B43" s="2">
        <v>15</v>
      </c>
      <c r="C43" s="2" t="s">
        <v>56</v>
      </c>
      <c r="D43" s="2" t="s">
        <v>60</v>
      </c>
      <c r="E43" s="2">
        <v>1.37</v>
      </c>
      <c r="F43" s="2">
        <v>4.9800000000000004</v>
      </c>
      <c r="G43" s="2">
        <v>10.57</v>
      </c>
      <c r="H43" s="2">
        <v>8.5</v>
      </c>
      <c r="I43" s="2">
        <v>11.3</v>
      </c>
      <c r="J43" s="2">
        <v>13.97</v>
      </c>
      <c r="K43" s="2">
        <v>18.97</v>
      </c>
      <c r="L43" s="2">
        <v>17.61</v>
      </c>
      <c r="M43" s="2">
        <v>0.47</v>
      </c>
      <c r="N43" s="2">
        <v>0.59</v>
      </c>
      <c r="O43" s="2">
        <v>0.44</v>
      </c>
      <c r="P43" s="2">
        <v>0.94</v>
      </c>
    </row>
    <row r="44" spans="1:16">
      <c r="A44" s="171">
        <v>11</v>
      </c>
      <c r="B44" s="2">
        <v>15</v>
      </c>
      <c r="C44" s="2" t="s">
        <v>61</v>
      </c>
      <c r="D44" s="2" t="s">
        <v>57</v>
      </c>
      <c r="E44" s="2">
        <v>2.39</v>
      </c>
      <c r="F44" s="2">
        <v>2.19</v>
      </c>
      <c r="G44" s="2">
        <v>1.95</v>
      </c>
      <c r="H44" s="2">
        <v>1.51</v>
      </c>
      <c r="I44" s="2">
        <v>1.53</v>
      </c>
      <c r="J44" s="2">
        <v>1.55</v>
      </c>
      <c r="K44" s="2">
        <v>2.64</v>
      </c>
      <c r="L44" s="2">
        <v>1.55</v>
      </c>
      <c r="M44" s="2">
        <v>1.1200000000000001</v>
      </c>
      <c r="N44" s="2">
        <v>1.45</v>
      </c>
      <c r="O44" s="2">
        <v>1.43</v>
      </c>
      <c r="P44" s="2">
        <v>1.28</v>
      </c>
    </row>
    <row r="45" spans="1:16">
      <c r="A45" s="171">
        <v>11</v>
      </c>
      <c r="B45" s="2">
        <v>15</v>
      </c>
      <c r="C45" s="2" t="s">
        <v>61</v>
      </c>
      <c r="D45" s="2" t="s">
        <v>58</v>
      </c>
      <c r="E45" s="2">
        <v>9.17</v>
      </c>
      <c r="F45" s="2">
        <v>12.93</v>
      </c>
      <c r="G45" s="2">
        <v>7.76</v>
      </c>
      <c r="H45" s="2">
        <v>5.37</v>
      </c>
      <c r="I45" s="2">
        <v>3.16</v>
      </c>
      <c r="J45" s="2">
        <v>5.05</v>
      </c>
      <c r="K45" s="2">
        <v>14.59</v>
      </c>
      <c r="L45" s="2">
        <v>0.44</v>
      </c>
      <c r="M45" s="2">
        <v>1.67</v>
      </c>
      <c r="N45" s="2">
        <v>2.41</v>
      </c>
      <c r="O45" s="2">
        <v>4.09</v>
      </c>
      <c r="P45" s="2">
        <v>2.46</v>
      </c>
    </row>
    <row r="46" spans="1:16">
      <c r="A46" s="171">
        <v>11</v>
      </c>
      <c r="B46" s="2">
        <v>15</v>
      </c>
      <c r="C46" s="2" t="s">
        <v>61</v>
      </c>
      <c r="D46" s="2" t="s">
        <v>59</v>
      </c>
      <c r="E46" s="2">
        <v>1.06</v>
      </c>
      <c r="F46" s="2">
        <v>1.02</v>
      </c>
      <c r="G46" s="2">
        <v>1.05</v>
      </c>
      <c r="H46" s="2">
        <v>0.95</v>
      </c>
      <c r="I46" s="2">
        <v>0.82</v>
      </c>
      <c r="J46" s="2">
        <v>0.95</v>
      </c>
      <c r="K46" s="2">
        <v>0.95</v>
      </c>
      <c r="L46" s="2">
        <v>0.86</v>
      </c>
      <c r="M46" s="2">
        <v>0.98</v>
      </c>
      <c r="N46" s="2">
        <v>1.07</v>
      </c>
      <c r="O46" s="2">
        <v>1.25</v>
      </c>
      <c r="P46" s="2">
        <v>1.28</v>
      </c>
    </row>
    <row r="47" spans="1:16">
      <c r="A47" s="171">
        <v>11</v>
      </c>
      <c r="B47" s="2">
        <v>15</v>
      </c>
      <c r="C47" s="2" t="s">
        <v>61</v>
      </c>
      <c r="D47" s="2" t="s">
        <v>60</v>
      </c>
      <c r="E47" s="2">
        <v>1.26</v>
      </c>
      <c r="F47" s="2">
        <v>4.78</v>
      </c>
      <c r="G47" s="2">
        <v>10.78</v>
      </c>
      <c r="H47" s="2">
        <v>8.5</v>
      </c>
      <c r="I47" s="2">
        <v>11.42</v>
      </c>
      <c r="J47" s="2">
        <v>14.08</v>
      </c>
      <c r="K47" s="2">
        <v>19.510000000000002</v>
      </c>
      <c r="L47" s="2">
        <v>28.71</v>
      </c>
      <c r="M47" s="2">
        <v>0.44</v>
      </c>
      <c r="N47" s="2">
        <v>0.56000000000000005</v>
      </c>
      <c r="O47" s="2">
        <v>0.42</v>
      </c>
      <c r="P47" s="2">
        <v>0.94</v>
      </c>
    </row>
    <row r="48" spans="1:16">
      <c r="A48" s="171">
        <v>12</v>
      </c>
      <c r="B48" s="2">
        <v>15</v>
      </c>
      <c r="C48" s="2" t="s">
        <v>61</v>
      </c>
      <c r="D48" s="2" t="s">
        <v>57</v>
      </c>
      <c r="E48" s="2">
        <v>2.92</v>
      </c>
      <c r="F48" s="2">
        <v>2.85</v>
      </c>
      <c r="G48" s="2">
        <v>1.63</v>
      </c>
      <c r="H48" s="2">
        <v>2.38</v>
      </c>
      <c r="I48" s="2">
        <v>1.1200000000000001</v>
      </c>
      <c r="J48" s="2">
        <v>1.1299999999999999</v>
      </c>
      <c r="K48" s="2">
        <v>2.82</v>
      </c>
      <c r="L48" s="2">
        <v>1.52</v>
      </c>
      <c r="M48" s="2">
        <v>1.75</v>
      </c>
      <c r="N48" s="2">
        <v>1.2</v>
      </c>
      <c r="O48" s="2">
        <v>2.5499999999999998</v>
      </c>
      <c r="P48" s="2">
        <v>1.45</v>
      </c>
    </row>
    <row r="49" spans="1:16">
      <c r="A49" s="171">
        <v>12</v>
      </c>
      <c r="B49" s="2">
        <v>15</v>
      </c>
      <c r="C49" s="2" t="s">
        <v>61</v>
      </c>
      <c r="D49" s="2" t="s">
        <v>58</v>
      </c>
      <c r="E49" s="2">
        <v>12.19</v>
      </c>
      <c r="F49" s="2">
        <v>13.36</v>
      </c>
      <c r="G49" s="2">
        <v>7.39</v>
      </c>
      <c r="H49" s="2">
        <v>7.97</v>
      </c>
      <c r="I49" s="2">
        <v>3.43</v>
      </c>
      <c r="J49" s="2">
        <v>3.46</v>
      </c>
      <c r="K49" s="2">
        <v>16.170000000000002</v>
      </c>
      <c r="L49" s="2">
        <v>0.05</v>
      </c>
      <c r="M49" s="2">
        <v>1.81</v>
      </c>
      <c r="N49" s="2">
        <v>1.68</v>
      </c>
      <c r="O49" s="2">
        <v>3.9</v>
      </c>
      <c r="P49" s="2">
        <v>2.16</v>
      </c>
    </row>
    <row r="50" spans="1:16">
      <c r="A50" s="171">
        <v>12</v>
      </c>
      <c r="B50" s="2">
        <v>15</v>
      </c>
      <c r="C50" s="2" t="s">
        <v>61</v>
      </c>
      <c r="D50" s="2" t="s">
        <v>59</v>
      </c>
      <c r="E50" s="2">
        <v>1.49</v>
      </c>
      <c r="F50" s="2">
        <v>1.83</v>
      </c>
      <c r="G50" s="2">
        <v>0.84</v>
      </c>
      <c r="H50" s="2">
        <v>1.35</v>
      </c>
      <c r="I50" s="2">
        <v>0.71</v>
      </c>
      <c r="J50" s="2">
        <v>0.71</v>
      </c>
      <c r="K50" s="2">
        <v>1.33</v>
      </c>
      <c r="L50" s="2">
        <v>1.08</v>
      </c>
      <c r="M50" s="2">
        <v>2.1800000000000002</v>
      </c>
      <c r="N50" s="2">
        <v>1.36</v>
      </c>
      <c r="O50" s="2">
        <v>2.57</v>
      </c>
      <c r="P50" s="2">
        <v>1.18</v>
      </c>
    </row>
    <row r="51" spans="1:16">
      <c r="A51" s="171">
        <v>12</v>
      </c>
      <c r="B51" s="2">
        <v>15</v>
      </c>
      <c r="C51" s="2" t="s">
        <v>61</v>
      </c>
      <c r="D51" s="2" t="s">
        <v>60</v>
      </c>
      <c r="E51" s="2">
        <v>1.41</v>
      </c>
      <c r="F51" s="2">
        <v>4.57</v>
      </c>
      <c r="G51" s="2">
        <v>10.87</v>
      </c>
      <c r="H51" s="2">
        <v>8.5299999999999994</v>
      </c>
      <c r="I51" s="2">
        <v>11.46</v>
      </c>
      <c r="J51" s="2">
        <v>13.67</v>
      </c>
      <c r="K51" s="2">
        <v>20.07</v>
      </c>
      <c r="L51" s="2">
        <v>7.6</v>
      </c>
      <c r="M51" s="2">
        <v>0.42</v>
      </c>
      <c r="N51" s="2">
        <v>0.54</v>
      </c>
      <c r="O51" s="2">
        <v>0.4</v>
      </c>
      <c r="P51" s="2">
        <v>0.95</v>
      </c>
    </row>
    <row r="52" spans="1:16">
      <c r="A52" s="171">
        <v>13</v>
      </c>
      <c r="B52" s="2">
        <v>15</v>
      </c>
      <c r="C52" s="2" t="s">
        <v>61</v>
      </c>
      <c r="D52" s="2" t="s">
        <v>57</v>
      </c>
      <c r="E52" s="2">
        <v>4.29</v>
      </c>
      <c r="F52" s="2">
        <v>4.66</v>
      </c>
      <c r="G52" s="2">
        <v>4.79</v>
      </c>
      <c r="H52" s="2">
        <v>11.02</v>
      </c>
      <c r="I52" s="2">
        <v>2.76</v>
      </c>
      <c r="J52" s="2">
        <v>3.25</v>
      </c>
      <c r="K52" s="2">
        <v>5.73</v>
      </c>
      <c r="L52" s="2">
        <v>1.37</v>
      </c>
      <c r="M52" s="2">
        <v>0.97</v>
      </c>
      <c r="N52" s="2">
        <v>0.42</v>
      </c>
      <c r="O52" s="2">
        <v>1.69</v>
      </c>
      <c r="P52" s="2">
        <v>1.73</v>
      </c>
    </row>
    <row r="53" spans="1:16">
      <c r="A53" s="171">
        <v>13</v>
      </c>
      <c r="B53" s="2">
        <v>15</v>
      </c>
      <c r="C53" s="2" t="s">
        <v>61</v>
      </c>
      <c r="D53" s="2" t="s">
        <v>58</v>
      </c>
      <c r="E53" s="2">
        <v>4.54</v>
      </c>
      <c r="F53" s="2">
        <v>11.13</v>
      </c>
      <c r="G53" s="2">
        <v>6.8</v>
      </c>
      <c r="H53" s="2">
        <v>19.72</v>
      </c>
      <c r="I53" s="2">
        <v>2.4900000000000002</v>
      </c>
      <c r="J53" s="2">
        <v>4.13</v>
      </c>
      <c r="K53" s="2">
        <v>12.67</v>
      </c>
      <c r="L53" s="2">
        <v>0.27</v>
      </c>
      <c r="M53" s="2">
        <v>1.64</v>
      </c>
      <c r="N53" s="2">
        <v>0.56000000000000005</v>
      </c>
      <c r="O53" s="2">
        <v>4.46</v>
      </c>
      <c r="P53" s="2">
        <v>2.73</v>
      </c>
    </row>
    <row r="54" spans="1:16">
      <c r="A54" s="171">
        <v>13</v>
      </c>
      <c r="B54" s="2">
        <v>15</v>
      </c>
      <c r="C54" s="2" t="s">
        <v>61</v>
      </c>
      <c r="D54" s="2" t="s">
        <v>59</v>
      </c>
      <c r="E54" s="2">
        <v>2.38</v>
      </c>
      <c r="F54" s="2">
        <v>2.44</v>
      </c>
      <c r="G54" s="2">
        <v>2.75</v>
      </c>
      <c r="H54" s="2">
        <v>7.49</v>
      </c>
      <c r="I54" s="2">
        <v>1.44</v>
      </c>
      <c r="J54" s="2">
        <v>1.49</v>
      </c>
      <c r="K54" s="2">
        <v>2.8</v>
      </c>
      <c r="L54" s="2">
        <v>0.53</v>
      </c>
      <c r="M54" s="2">
        <v>0.89</v>
      </c>
      <c r="N54" s="2">
        <v>0.33</v>
      </c>
      <c r="O54" s="2">
        <v>1.69</v>
      </c>
      <c r="P54" s="2">
        <v>1.91</v>
      </c>
    </row>
    <row r="55" spans="1:16">
      <c r="A55" s="171">
        <v>13</v>
      </c>
      <c r="B55" s="2">
        <v>15</v>
      </c>
      <c r="C55" s="2" t="s">
        <v>61</v>
      </c>
      <c r="D55" s="2" t="s">
        <v>60</v>
      </c>
      <c r="E55" s="2">
        <v>1.39</v>
      </c>
      <c r="F55" s="2">
        <v>4.9000000000000004</v>
      </c>
      <c r="G55" s="2">
        <v>10.35</v>
      </c>
      <c r="H55" s="2">
        <v>8.65</v>
      </c>
      <c r="I55" s="2">
        <v>11.33</v>
      </c>
      <c r="J55" s="2">
        <v>13.95</v>
      </c>
      <c r="K55" s="2">
        <v>18.91</v>
      </c>
      <c r="L55" s="2">
        <v>22.81</v>
      </c>
      <c r="M55" s="2">
        <v>0.47</v>
      </c>
      <c r="N55" s="2">
        <v>0.56999999999999995</v>
      </c>
      <c r="O55" s="2">
        <v>0.43</v>
      </c>
      <c r="P55" s="2">
        <v>0.91</v>
      </c>
    </row>
    <row r="56" spans="1:16">
      <c r="A56" s="171">
        <v>14</v>
      </c>
      <c r="B56" s="2">
        <v>15</v>
      </c>
      <c r="C56" s="2" t="s">
        <v>61</v>
      </c>
      <c r="D56" s="2" t="s">
        <v>57</v>
      </c>
      <c r="E56" s="2">
        <v>2.58</v>
      </c>
      <c r="F56" s="2">
        <v>2.48</v>
      </c>
      <c r="G56" s="2">
        <v>2.2999999999999998</v>
      </c>
      <c r="H56" s="2">
        <v>1.65</v>
      </c>
      <c r="I56" s="2">
        <v>1.42</v>
      </c>
      <c r="J56" s="2">
        <v>1.22</v>
      </c>
      <c r="K56" s="2">
        <v>2.93</v>
      </c>
      <c r="L56" s="2">
        <v>1.26</v>
      </c>
      <c r="M56" s="2">
        <v>1.08</v>
      </c>
      <c r="N56" s="2">
        <v>1.5</v>
      </c>
      <c r="O56" s="2">
        <v>1.75</v>
      </c>
      <c r="P56" s="2">
        <v>1.62</v>
      </c>
    </row>
    <row r="57" spans="1:16">
      <c r="A57" s="171">
        <v>14</v>
      </c>
      <c r="B57" s="2">
        <v>15</v>
      </c>
      <c r="C57" s="2" t="s">
        <v>61</v>
      </c>
      <c r="D57" s="2" t="s">
        <v>58</v>
      </c>
      <c r="E57" s="2">
        <v>12.14</v>
      </c>
      <c r="F57" s="2">
        <v>12.86</v>
      </c>
      <c r="G57" s="2">
        <v>7.45</v>
      </c>
      <c r="H57" s="2">
        <v>7.54</v>
      </c>
      <c r="I57" s="2">
        <v>3.25</v>
      </c>
      <c r="J57" s="2">
        <v>4.41</v>
      </c>
      <c r="K57" s="2">
        <v>12.89</v>
      </c>
      <c r="L57" s="2">
        <v>0.16</v>
      </c>
      <c r="M57" s="2">
        <v>1.73</v>
      </c>
      <c r="N57" s="2">
        <v>1.71</v>
      </c>
      <c r="O57" s="2">
        <v>3.96</v>
      </c>
      <c r="P57" s="2">
        <v>2.2999999999999998</v>
      </c>
    </row>
    <row r="58" spans="1:16">
      <c r="A58" s="171">
        <v>14</v>
      </c>
      <c r="B58" s="2">
        <v>15</v>
      </c>
      <c r="C58" s="2" t="s">
        <v>61</v>
      </c>
      <c r="D58" s="2" t="s">
        <v>59</v>
      </c>
      <c r="E58" s="2">
        <v>1.86</v>
      </c>
      <c r="F58" s="2">
        <v>1.43</v>
      </c>
      <c r="G58" s="2">
        <v>1.22</v>
      </c>
      <c r="H58" s="2">
        <v>1.0900000000000001</v>
      </c>
      <c r="I58" s="2">
        <v>0.74</v>
      </c>
      <c r="J58" s="2">
        <v>0.87</v>
      </c>
      <c r="K58" s="2">
        <v>1.75</v>
      </c>
      <c r="L58" s="2">
        <v>0.59</v>
      </c>
      <c r="M58" s="2">
        <v>1.17</v>
      </c>
      <c r="N58" s="2">
        <v>1.31</v>
      </c>
      <c r="O58" s="2">
        <v>1.94</v>
      </c>
      <c r="P58" s="2">
        <v>1.66</v>
      </c>
    </row>
    <row r="59" spans="1:16">
      <c r="A59" s="171">
        <v>14</v>
      </c>
      <c r="B59" s="2">
        <v>15</v>
      </c>
      <c r="C59" s="2" t="s">
        <v>61</v>
      </c>
      <c r="D59" s="2" t="s">
        <v>60</v>
      </c>
      <c r="E59" s="2">
        <v>1.39</v>
      </c>
      <c r="F59" s="2">
        <v>4.8</v>
      </c>
      <c r="G59" s="2">
        <v>10.7</v>
      </c>
      <c r="H59" s="2">
        <v>8.4600000000000009</v>
      </c>
      <c r="I59" s="2">
        <v>11.41</v>
      </c>
      <c r="J59" s="2">
        <v>14.01</v>
      </c>
      <c r="K59" s="2">
        <v>19.32</v>
      </c>
      <c r="L59" s="2">
        <v>13.2</v>
      </c>
      <c r="M59" s="2">
        <v>0.45</v>
      </c>
      <c r="N59" s="2">
        <v>0.56999999999999995</v>
      </c>
      <c r="O59" s="2">
        <v>0.42</v>
      </c>
      <c r="P59" s="2">
        <v>0.94</v>
      </c>
    </row>
    <row r="60" spans="1:16">
      <c r="A60" s="171">
        <v>15</v>
      </c>
      <c r="B60" s="2">
        <v>15</v>
      </c>
      <c r="C60" s="2" t="s">
        <v>62</v>
      </c>
      <c r="D60" s="2" t="s">
        <v>57</v>
      </c>
      <c r="E60" s="2">
        <v>3.69</v>
      </c>
      <c r="F60" s="2">
        <v>4.0199999999999996</v>
      </c>
      <c r="G60" s="2">
        <v>3.31</v>
      </c>
      <c r="H60" s="2">
        <v>4.71</v>
      </c>
      <c r="I60" s="2">
        <v>1.95</v>
      </c>
      <c r="J60" s="2">
        <v>2.13</v>
      </c>
      <c r="K60" s="2">
        <v>3.85</v>
      </c>
      <c r="L60" s="2">
        <v>1.35</v>
      </c>
      <c r="M60" s="2">
        <v>1.21</v>
      </c>
      <c r="N60" s="2">
        <v>0.85</v>
      </c>
      <c r="O60" s="2">
        <v>2.06</v>
      </c>
      <c r="P60" s="2">
        <v>1.7</v>
      </c>
    </row>
    <row r="61" spans="1:16">
      <c r="A61" s="171">
        <v>15</v>
      </c>
      <c r="B61" s="2">
        <v>15</v>
      </c>
      <c r="C61" s="2" t="s">
        <v>62</v>
      </c>
      <c r="D61" s="2" t="s">
        <v>58</v>
      </c>
      <c r="E61" s="2">
        <v>7.37</v>
      </c>
      <c r="F61" s="2">
        <v>16.149999999999999</v>
      </c>
      <c r="G61" s="2">
        <v>6.95</v>
      </c>
      <c r="H61" s="2">
        <v>11.03</v>
      </c>
      <c r="I61" s="2">
        <v>3.11</v>
      </c>
      <c r="J61" s="2">
        <v>5.23</v>
      </c>
      <c r="K61" s="2">
        <v>13.41</v>
      </c>
      <c r="L61" s="2">
        <v>1</v>
      </c>
      <c r="M61" s="2">
        <v>2.3199999999999998</v>
      </c>
      <c r="N61" s="2">
        <v>1.46</v>
      </c>
      <c r="O61" s="2">
        <v>5.19</v>
      </c>
      <c r="P61" s="2">
        <v>2.23</v>
      </c>
    </row>
    <row r="62" spans="1:16">
      <c r="A62" s="171">
        <v>15</v>
      </c>
      <c r="B62" s="2">
        <v>15</v>
      </c>
      <c r="C62" s="2" t="s">
        <v>62</v>
      </c>
      <c r="D62" s="2" t="s">
        <v>59</v>
      </c>
      <c r="E62" s="2">
        <v>2.04</v>
      </c>
      <c r="F62" s="2">
        <v>2.2400000000000002</v>
      </c>
      <c r="G62" s="2">
        <v>1.29</v>
      </c>
      <c r="H62" s="2">
        <v>2.86</v>
      </c>
      <c r="I62" s="2">
        <v>0.95</v>
      </c>
      <c r="J62" s="2">
        <v>1.26</v>
      </c>
      <c r="K62" s="2">
        <v>2.88</v>
      </c>
      <c r="L62" s="2">
        <v>1.0900000000000001</v>
      </c>
      <c r="M62" s="2">
        <v>1.73</v>
      </c>
      <c r="N62" s="2">
        <v>0.78</v>
      </c>
      <c r="O62" s="2">
        <v>2.36</v>
      </c>
      <c r="P62" s="2">
        <v>1.37</v>
      </c>
    </row>
    <row r="63" spans="1:16">
      <c r="A63" s="171">
        <v>15</v>
      </c>
      <c r="B63" s="2">
        <v>15</v>
      </c>
      <c r="C63" s="2" t="s">
        <v>62</v>
      </c>
      <c r="D63" s="2" t="s">
        <v>60</v>
      </c>
      <c r="E63" s="2">
        <v>1.32</v>
      </c>
      <c r="F63" s="2">
        <v>4.96</v>
      </c>
      <c r="G63" s="2">
        <v>10.62</v>
      </c>
      <c r="H63" s="2">
        <v>8.56</v>
      </c>
      <c r="I63" s="2">
        <v>11.41</v>
      </c>
      <c r="J63" s="2">
        <v>14.07</v>
      </c>
      <c r="K63" s="2">
        <v>18.45</v>
      </c>
      <c r="L63" s="2">
        <v>14.3</v>
      </c>
      <c r="M63" s="2">
        <v>0.47</v>
      </c>
      <c r="N63" s="2">
        <v>0.57999999999999996</v>
      </c>
      <c r="O63" s="2">
        <v>0.43</v>
      </c>
      <c r="P63" s="2">
        <v>0.93</v>
      </c>
    </row>
    <row r="64" spans="1:16">
      <c r="A64" s="171">
        <v>16</v>
      </c>
      <c r="B64" s="2">
        <v>15</v>
      </c>
      <c r="C64" s="2" t="s">
        <v>62</v>
      </c>
      <c r="D64" s="2" t="s">
        <v>57</v>
      </c>
      <c r="E64" s="2">
        <v>4.4000000000000004</v>
      </c>
      <c r="F64" s="2">
        <v>5.55</v>
      </c>
      <c r="G64" s="2">
        <v>2.99</v>
      </c>
      <c r="H64" s="2">
        <v>5.43</v>
      </c>
      <c r="I64" s="2">
        <v>1.56</v>
      </c>
      <c r="J64" s="2">
        <v>3.12</v>
      </c>
      <c r="K64" s="2">
        <v>5.61</v>
      </c>
      <c r="L64" s="2">
        <v>2.1</v>
      </c>
      <c r="M64" s="2">
        <v>1.85</v>
      </c>
      <c r="N64" s="2">
        <v>1.02</v>
      </c>
      <c r="O64" s="2">
        <v>3.56</v>
      </c>
      <c r="P64" s="2">
        <v>1.92</v>
      </c>
    </row>
    <row r="65" spans="1:16">
      <c r="A65" s="171">
        <v>16</v>
      </c>
      <c r="B65" s="2">
        <v>15</v>
      </c>
      <c r="C65" s="2" t="s">
        <v>62</v>
      </c>
      <c r="D65" s="2" t="s">
        <v>58</v>
      </c>
      <c r="E65" s="2">
        <v>7.98</v>
      </c>
      <c r="F65" s="2">
        <v>15.45</v>
      </c>
      <c r="G65" s="2">
        <v>5.37</v>
      </c>
      <c r="H65" s="2">
        <v>11.52</v>
      </c>
      <c r="I65" s="2">
        <v>1.78</v>
      </c>
      <c r="J65" s="2">
        <v>4.22</v>
      </c>
      <c r="K65" s="2">
        <v>14.59</v>
      </c>
      <c r="L65" s="2">
        <v>1.63</v>
      </c>
      <c r="M65" s="2">
        <v>2.88</v>
      </c>
      <c r="N65" s="2">
        <v>1.34</v>
      </c>
      <c r="O65" s="2">
        <v>8.68</v>
      </c>
      <c r="P65" s="2">
        <v>3.02</v>
      </c>
    </row>
    <row r="66" spans="1:16">
      <c r="A66" s="171">
        <v>16</v>
      </c>
      <c r="B66" s="2">
        <v>15</v>
      </c>
      <c r="C66" s="2" t="s">
        <v>62</v>
      </c>
      <c r="D66" s="2" t="s">
        <v>59</v>
      </c>
      <c r="E66" s="2">
        <v>4.66</v>
      </c>
      <c r="F66" s="2">
        <v>2.12</v>
      </c>
      <c r="G66" s="2">
        <v>1.38</v>
      </c>
      <c r="H66" s="2">
        <v>2.75</v>
      </c>
      <c r="I66" s="2">
        <v>1.1299999999999999</v>
      </c>
      <c r="J66" s="2">
        <v>1.56</v>
      </c>
      <c r="K66" s="2">
        <v>3.62</v>
      </c>
      <c r="L66" s="2">
        <v>4.43</v>
      </c>
      <c r="M66" s="2">
        <v>1.54</v>
      </c>
      <c r="N66" s="2">
        <v>0.77</v>
      </c>
      <c r="O66" s="2">
        <v>1.88</v>
      </c>
      <c r="P66" s="2">
        <v>1.22</v>
      </c>
    </row>
    <row r="67" spans="1:16">
      <c r="A67" s="171">
        <v>16</v>
      </c>
      <c r="B67" s="2">
        <v>15</v>
      </c>
      <c r="C67" s="2" t="s">
        <v>62</v>
      </c>
      <c r="D67" s="2" t="s">
        <v>60</v>
      </c>
      <c r="E67" s="2">
        <v>1.36</v>
      </c>
      <c r="F67" s="2">
        <v>4.96</v>
      </c>
      <c r="G67" s="2">
        <v>10.49</v>
      </c>
      <c r="H67" s="2">
        <v>8.5500000000000007</v>
      </c>
      <c r="I67" s="2">
        <v>11.31</v>
      </c>
      <c r="J67" s="2">
        <v>13.97</v>
      </c>
      <c r="K67" s="2">
        <v>19.05</v>
      </c>
      <c r="L67" s="2">
        <v>19.850000000000001</v>
      </c>
      <c r="M67" s="2">
        <v>0.47</v>
      </c>
      <c r="N67" s="2">
        <v>0.57999999999999996</v>
      </c>
      <c r="O67" s="2">
        <v>0.44</v>
      </c>
      <c r="P67" s="2">
        <v>0.93</v>
      </c>
    </row>
    <row r="68" spans="1:16">
      <c r="A68" s="171">
        <v>17</v>
      </c>
      <c r="B68" s="2">
        <v>15</v>
      </c>
      <c r="C68" s="2" t="s">
        <v>62</v>
      </c>
      <c r="D68" s="2" t="s">
        <v>57</v>
      </c>
      <c r="E68" s="2">
        <v>3.24</v>
      </c>
      <c r="F68" s="2">
        <v>4.6399999999999997</v>
      </c>
      <c r="G68" s="2">
        <v>2.59</v>
      </c>
      <c r="H68" s="2">
        <v>5.01</v>
      </c>
      <c r="I68" s="2">
        <v>1.74</v>
      </c>
      <c r="J68" s="2">
        <v>2.09</v>
      </c>
      <c r="K68" s="2">
        <v>3.64</v>
      </c>
      <c r="L68" s="2">
        <v>0.95</v>
      </c>
      <c r="M68" s="2">
        <v>1.79</v>
      </c>
      <c r="N68" s="2">
        <v>0.93</v>
      </c>
      <c r="O68" s="2">
        <v>2.67</v>
      </c>
      <c r="P68" s="2">
        <v>1.49</v>
      </c>
    </row>
    <row r="69" spans="1:16">
      <c r="A69" s="171">
        <v>17</v>
      </c>
      <c r="B69" s="2">
        <v>15</v>
      </c>
      <c r="C69" s="2" t="s">
        <v>62</v>
      </c>
      <c r="D69" s="2" t="s">
        <v>58</v>
      </c>
      <c r="E69" s="2">
        <v>6.95</v>
      </c>
      <c r="F69" s="2">
        <v>16.87</v>
      </c>
      <c r="G69" s="2">
        <v>7.19</v>
      </c>
      <c r="H69" s="2">
        <v>11.97</v>
      </c>
      <c r="I69" s="2">
        <v>2.63</v>
      </c>
      <c r="J69" s="2">
        <v>5.53</v>
      </c>
      <c r="K69" s="2">
        <v>13.41</v>
      </c>
      <c r="L69" s="2">
        <v>0.15</v>
      </c>
      <c r="M69" s="2">
        <v>2.35</v>
      </c>
      <c r="N69" s="2">
        <v>1.41</v>
      </c>
      <c r="O69" s="2">
        <v>6.42</v>
      </c>
      <c r="P69" s="2">
        <v>2.74</v>
      </c>
    </row>
    <row r="70" spans="1:16">
      <c r="A70" s="171">
        <v>17</v>
      </c>
      <c r="B70" s="2">
        <v>15</v>
      </c>
      <c r="C70" s="2" t="s">
        <v>62</v>
      </c>
      <c r="D70" s="2" t="s">
        <v>59</v>
      </c>
      <c r="E70" s="2">
        <v>1.51</v>
      </c>
      <c r="F70" s="2">
        <v>2.94</v>
      </c>
      <c r="G70" s="2">
        <v>1.26</v>
      </c>
      <c r="H70" s="2">
        <v>2.69</v>
      </c>
      <c r="I70" s="2">
        <v>0.99</v>
      </c>
      <c r="J70" s="2">
        <v>1.27</v>
      </c>
      <c r="K70" s="2">
        <v>1.65</v>
      </c>
      <c r="L70" s="2">
        <v>0.43</v>
      </c>
      <c r="M70" s="2">
        <v>2.34</v>
      </c>
      <c r="N70" s="2">
        <v>1.0900000000000001</v>
      </c>
      <c r="O70" s="2">
        <v>2.96</v>
      </c>
      <c r="P70" s="2">
        <v>1.27</v>
      </c>
    </row>
    <row r="71" spans="1:16">
      <c r="A71" s="171">
        <v>17</v>
      </c>
      <c r="B71" s="2">
        <v>15</v>
      </c>
      <c r="C71" s="2" t="s">
        <v>62</v>
      </c>
      <c r="D71" s="2" t="s">
        <v>60</v>
      </c>
      <c r="E71" s="2">
        <v>1.39</v>
      </c>
      <c r="F71" s="2">
        <v>5.04</v>
      </c>
      <c r="G71" s="2">
        <v>10.57</v>
      </c>
      <c r="H71" s="2">
        <v>8.52</v>
      </c>
      <c r="I71" s="2">
        <v>11.33</v>
      </c>
      <c r="J71" s="2">
        <v>14.07</v>
      </c>
      <c r="K71" s="2">
        <v>18.47</v>
      </c>
      <c r="L71" s="2">
        <v>13.49</v>
      </c>
      <c r="M71" s="2">
        <v>0.48</v>
      </c>
      <c r="N71" s="2">
        <v>0.59</v>
      </c>
      <c r="O71" s="2">
        <v>0.44</v>
      </c>
      <c r="P71" s="2">
        <v>0.93</v>
      </c>
    </row>
    <row r="72" spans="1:16">
      <c r="A72" s="171">
        <v>18</v>
      </c>
      <c r="B72" s="2">
        <v>15</v>
      </c>
      <c r="C72" s="2" t="s">
        <v>63</v>
      </c>
      <c r="D72" s="2" t="s">
        <v>57</v>
      </c>
      <c r="E72" s="2">
        <v>5.48</v>
      </c>
      <c r="F72" s="2">
        <v>6.08</v>
      </c>
      <c r="G72" s="2">
        <v>3.7</v>
      </c>
      <c r="H72" s="2">
        <v>5.43</v>
      </c>
      <c r="I72" s="2">
        <v>2.84</v>
      </c>
      <c r="J72" s="2">
        <v>3.28</v>
      </c>
      <c r="K72" s="2">
        <v>3.42</v>
      </c>
      <c r="L72" s="2">
        <v>0.71</v>
      </c>
      <c r="M72" s="2">
        <v>1.64</v>
      </c>
      <c r="N72" s="2">
        <v>1.1200000000000001</v>
      </c>
      <c r="O72" s="2">
        <v>2.14</v>
      </c>
      <c r="P72" s="2">
        <v>1.3</v>
      </c>
    </row>
    <row r="73" spans="1:16">
      <c r="A73" s="171">
        <v>18</v>
      </c>
      <c r="B73" s="2">
        <v>15</v>
      </c>
      <c r="C73" s="2" t="s">
        <v>63</v>
      </c>
      <c r="D73" s="2" t="s">
        <v>58</v>
      </c>
      <c r="E73" s="2">
        <v>8.73</v>
      </c>
      <c r="F73" s="2">
        <v>14.71</v>
      </c>
      <c r="G73" s="2">
        <v>6.93</v>
      </c>
      <c r="H73" s="2">
        <v>9.3800000000000008</v>
      </c>
      <c r="I73" s="2">
        <v>2.87</v>
      </c>
      <c r="J73" s="2">
        <v>5.27</v>
      </c>
      <c r="K73" s="2">
        <v>10.07</v>
      </c>
      <c r="L73" s="2">
        <v>0</v>
      </c>
      <c r="M73" s="2">
        <v>2.12</v>
      </c>
      <c r="N73" s="2">
        <v>1.57</v>
      </c>
      <c r="O73" s="2">
        <v>5.13</v>
      </c>
      <c r="P73" s="2">
        <v>2.42</v>
      </c>
    </row>
    <row r="74" spans="1:16">
      <c r="A74" s="171">
        <v>18</v>
      </c>
      <c r="B74" s="2">
        <v>15</v>
      </c>
      <c r="C74" s="2" t="s">
        <v>63</v>
      </c>
      <c r="D74" s="2" t="s">
        <v>59</v>
      </c>
      <c r="E74" s="2">
        <v>3.35</v>
      </c>
      <c r="F74" s="2">
        <v>4.3</v>
      </c>
      <c r="G74" s="2">
        <v>2.4</v>
      </c>
      <c r="H74" s="2">
        <v>2.7</v>
      </c>
      <c r="I74" s="2">
        <v>1.86</v>
      </c>
      <c r="J74" s="2">
        <v>1.43</v>
      </c>
      <c r="K74" s="2">
        <v>2.2400000000000002</v>
      </c>
      <c r="L74" s="2">
        <v>0.34</v>
      </c>
      <c r="M74" s="2">
        <v>1.79</v>
      </c>
      <c r="N74" s="2">
        <v>1.59</v>
      </c>
      <c r="O74" s="2">
        <v>2.31</v>
      </c>
      <c r="P74" s="2">
        <v>1.3</v>
      </c>
    </row>
    <row r="75" spans="1:16">
      <c r="A75" s="171">
        <v>18</v>
      </c>
      <c r="B75" s="2">
        <v>15</v>
      </c>
      <c r="C75" s="2" t="s">
        <v>63</v>
      </c>
      <c r="D75" s="2" t="s">
        <v>60</v>
      </c>
      <c r="E75" s="2">
        <v>1.29</v>
      </c>
      <c r="F75" s="2">
        <v>4.7699999999999996</v>
      </c>
      <c r="G75" s="2">
        <v>10.65</v>
      </c>
      <c r="H75" s="2">
        <v>8.5500000000000007</v>
      </c>
      <c r="I75" s="2">
        <v>11.37</v>
      </c>
      <c r="J75" s="2">
        <v>13.95</v>
      </c>
      <c r="K75" s="2">
        <v>18.5</v>
      </c>
      <c r="L75" s="2">
        <v>7.47</v>
      </c>
      <c r="M75" s="2">
        <v>0.45</v>
      </c>
      <c r="N75" s="2">
        <v>0.56000000000000005</v>
      </c>
      <c r="O75" s="2">
        <v>0.42</v>
      </c>
      <c r="P75" s="2">
        <v>0.94</v>
      </c>
    </row>
    <row r="76" spans="1:16">
      <c r="A76" s="171">
        <v>19</v>
      </c>
      <c r="B76" s="2">
        <v>15</v>
      </c>
      <c r="C76" s="2" t="s">
        <v>63</v>
      </c>
      <c r="D76" s="2" t="s">
        <v>57</v>
      </c>
      <c r="E76" s="2">
        <v>5.57</v>
      </c>
      <c r="F76" s="2">
        <v>5.79</v>
      </c>
      <c r="G76" s="2">
        <v>3.46</v>
      </c>
      <c r="H76" s="2">
        <v>5.23</v>
      </c>
      <c r="I76" s="2">
        <v>1.85</v>
      </c>
      <c r="J76" s="2">
        <v>2.17</v>
      </c>
      <c r="K76" s="2">
        <v>4.47</v>
      </c>
      <c r="L76" s="2">
        <v>1.1100000000000001</v>
      </c>
      <c r="M76" s="2">
        <v>1.67</v>
      </c>
      <c r="N76" s="2">
        <v>1.1100000000000001</v>
      </c>
      <c r="O76" s="2">
        <v>3.14</v>
      </c>
      <c r="P76" s="2">
        <v>1.87</v>
      </c>
    </row>
    <row r="77" spans="1:16">
      <c r="A77" s="171">
        <v>19</v>
      </c>
      <c r="B77" s="2">
        <v>15</v>
      </c>
      <c r="C77" s="2" t="s">
        <v>63</v>
      </c>
      <c r="D77" s="2" t="s">
        <v>58</v>
      </c>
      <c r="E77" s="2">
        <v>10.3</v>
      </c>
      <c r="F77" s="2">
        <v>16.420000000000002</v>
      </c>
      <c r="G77" s="2">
        <v>6.03</v>
      </c>
      <c r="H77" s="2">
        <v>9.65</v>
      </c>
      <c r="I77" s="2">
        <v>2.54</v>
      </c>
      <c r="J77" s="2">
        <v>4.53</v>
      </c>
      <c r="K77" s="2">
        <v>12.87</v>
      </c>
      <c r="L77" s="2">
        <v>0</v>
      </c>
      <c r="M77" s="2">
        <v>2.72</v>
      </c>
      <c r="N77" s="2">
        <v>1.7</v>
      </c>
      <c r="O77" s="2">
        <v>6.46</v>
      </c>
      <c r="P77" s="2">
        <v>2.37</v>
      </c>
    </row>
    <row r="78" spans="1:16">
      <c r="A78" s="171">
        <v>19</v>
      </c>
      <c r="B78" s="2">
        <v>15</v>
      </c>
      <c r="C78" s="2" t="s">
        <v>63</v>
      </c>
      <c r="D78" s="2" t="s">
        <v>59</v>
      </c>
      <c r="E78" s="2">
        <v>1.84</v>
      </c>
      <c r="F78" s="2">
        <v>2.99</v>
      </c>
      <c r="G78" s="2">
        <v>1.73</v>
      </c>
      <c r="H78" s="2">
        <v>2.4500000000000002</v>
      </c>
      <c r="I78" s="2">
        <v>1.7</v>
      </c>
      <c r="J78" s="2">
        <v>0.99</v>
      </c>
      <c r="K78" s="2">
        <v>2.46</v>
      </c>
      <c r="L78" s="2">
        <v>0.51</v>
      </c>
      <c r="M78" s="2">
        <v>1.73</v>
      </c>
      <c r="N78" s="2">
        <v>1.22</v>
      </c>
      <c r="O78" s="2">
        <v>1.76</v>
      </c>
      <c r="P78" s="2">
        <v>1.02</v>
      </c>
    </row>
    <row r="79" spans="1:16">
      <c r="A79" s="171">
        <v>19</v>
      </c>
      <c r="B79" s="2">
        <v>15</v>
      </c>
      <c r="C79" s="2" t="s">
        <v>63</v>
      </c>
      <c r="D79" s="2" t="s">
        <v>60</v>
      </c>
      <c r="E79" s="2">
        <v>1.37</v>
      </c>
      <c r="F79" s="2">
        <v>4.7699999999999996</v>
      </c>
      <c r="G79" s="2">
        <v>10.64</v>
      </c>
      <c r="H79" s="2">
        <v>8.52</v>
      </c>
      <c r="I79" s="2">
        <v>11.37</v>
      </c>
      <c r="J79" s="2">
        <v>14.13</v>
      </c>
      <c r="K79" s="2">
        <v>18.45</v>
      </c>
      <c r="L79" s="2">
        <v>3.73</v>
      </c>
      <c r="M79" s="2">
        <v>0.45</v>
      </c>
      <c r="N79" s="2">
        <v>0.56000000000000005</v>
      </c>
      <c r="O79" s="2">
        <v>0.42</v>
      </c>
      <c r="P79" s="2">
        <v>0.94</v>
      </c>
    </row>
    <row r="80" spans="1:16">
      <c r="A80" s="171">
        <v>20</v>
      </c>
      <c r="B80" s="2">
        <v>15</v>
      </c>
      <c r="C80" s="2" t="s">
        <v>63</v>
      </c>
      <c r="D80" s="2" t="s">
        <v>57</v>
      </c>
      <c r="E80" s="2">
        <v>8.8000000000000007</v>
      </c>
      <c r="F80" s="2">
        <v>6.78</v>
      </c>
      <c r="G80" s="2">
        <v>3.71</v>
      </c>
      <c r="H80" s="2">
        <v>3.39</v>
      </c>
      <c r="I80" s="2">
        <v>2.6</v>
      </c>
      <c r="J80" s="2">
        <v>2.5499999999999998</v>
      </c>
      <c r="K80" s="2">
        <v>5.66</v>
      </c>
      <c r="L80" s="2">
        <v>3.08</v>
      </c>
      <c r="M80" s="2">
        <v>1.83</v>
      </c>
      <c r="N80" s="2">
        <v>2</v>
      </c>
      <c r="O80" s="2">
        <v>2.61</v>
      </c>
      <c r="P80" s="2">
        <v>1.43</v>
      </c>
    </row>
    <row r="81" spans="1:16">
      <c r="A81" s="171">
        <v>20</v>
      </c>
      <c r="B81" s="2">
        <v>15</v>
      </c>
      <c r="C81" s="2" t="s">
        <v>63</v>
      </c>
      <c r="D81" s="2" t="s">
        <v>58</v>
      </c>
      <c r="E81" s="2">
        <v>12.3</v>
      </c>
      <c r="F81" s="2">
        <v>12.91</v>
      </c>
      <c r="G81" s="2">
        <v>5.31</v>
      </c>
      <c r="H81" s="2">
        <v>5.54</v>
      </c>
      <c r="I81" s="2">
        <v>2.33</v>
      </c>
      <c r="J81" s="2">
        <v>3.04</v>
      </c>
      <c r="K81" s="2">
        <v>15.31</v>
      </c>
      <c r="L81" s="2">
        <v>4.49</v>
      </c>
      <c r="M81" s="2">
        <v>2.4300000000000002</v>
      </c>
      <c r="N81" s="2">
        <v>2.33</v>
      </c>
      <c r="O81" s="2">
        <v>5.53</v>
      </c>
      <c r="P81" s="2">
        <v>2.2799999999999998</v>
      </c>
    </row>
    <row r="82" spans="1:16">
      <c r="A82" s="171">
        <v>20</v>
      </c>
      <c r="B82" s="2">
        <v>15</v>
      </c>
      <c r="C82" s="2" t="s">
        <v>63</v>
      </c>
      <c r="D82" s="2" t="s">
        <v>59</v>
      </c>
      <c r="E82" s="2">
        <v>4.83</v>
      </c>
      <c r="F82" s="2">
        <v>3.8</v>
      </c>
      <c r="G82" s="2">
        <v>2</v>
      </c>
      <c r="H82" s="2">
        <v>1.91</v>
      </c>
      <c r="I82" s="2">
        <v>1.1499999999999999</v>
      </c>
      <c r="J82" s="2">
        <v>1.48</v>
      </c>
      <c r="K82" s="2">
        <v>5.97</v>
      </c>
      <c r="L82" s="2">
        <v>3.85</v>
      </c>
      <c r="M82" s="2">
        <v>1.9</v>
      </c>
      <c r="N82" s="2">
        <v>1.99</v>
      </c>
      <c r="O82" s="2">
        <v>3.29</v>
      </c>
      <c r="P82" s="2">
        <v>1.73</v>
      </c>
    </row>
    <row r="83" spans="1:16">
      <c r="A83" s="171">
        <v>20</v>
      </c>
      <c r="B83" s="2">
        <v>15</v>
      </c>
      <c r="C83" s="2" t="s">
        <v>63</v>
      </c>
      <c r="D83" s="2" t="s">
        <v>60</v>
      </c>
      <c r="E83" s="2">
        <v>1.33</v>
      </c>
      <c r="F83" s="2">
        <v>4.59</v>
      </c>
      <c r="G83" s="2">
        <v>10.73</v>
      </c>
      <c r="H83" s="2">
        <v>8.56</v>
      </c>
      <c r="I83" s="2">
        <v>11.43</v>
      </c>
      <c r="J83" s="2">
        <v>13.91</v>
      </c>
      <c r="K83" s="2">
        <v>19.55</v>
      </c>
      <c r="L83" s="2">
        <v>28.93</v>
      </c>
      <c r="M83" s="2">
        <v>0.43</v>
      </c>
      <c r="N83" s="2">
        <v>0.54</v>
      </c>
      <c r="O83" s="2">
        <v>0.4</v>
      </c>
      <c r="P83" s="2">
        <v>0.94</v>
      </c>
    </row>
    <row r="84" spans="1:16">
      <c r="A84" s="171">
        <v>21</v>
      </c>
      <c r="B84" s="2">
        <v>6</v>
      </c>
      <c r="C84" s="2" t="s">
        <v>64</v>
      </c>
      <c r="D84" s="2" t="s">
        <v>57</v>
      </c>
      <c r="E84" s="2">
        <v>6.57</v>
      </c>
      <c r="F84" s="2">
        <v>7.52</v>
      </c>
      <c r="G84" s="2">
        <v>3.87</v>
      </c>
      <c r="H84" s="2">
        <v>3.48</v>
      </c>
      <c r="I84" s="2">
        <v>2.0299999999999998</v>
      </c>
      <c r="J84" s="2">
        <v>2.92</v>
      </c>
      <c r="K84" s="2">
        <v>5.27</v>
      </c>
      <c r="L84" s="2">
        <v>1.22</v>
      </c>
      <c r="M84" s="2">
        <v>1.94</v>
      </c>
      <c r="N84" s="2">
        <v>2.16</v>
      </c>
      <c r="O84" s="2">
        <v>3.7</v>
      </c>
      <c r="P84" s="2">
        <v>1.9</v>
      </c>
    </row>
    <row r="85" spans="1:16">
      <c r="A85" s="171">
        <v>21</v>
      </c>
      <c r="B85" s="2">
        <v>6</v>
      </c>
      <c r="C85" s="2" t="s">
        <v>64</v>
      </c>
      <c r="D85" s="2" t="s">
        <v>58</v>
      </c>
      <c r="E85" s="2">
        <v>6.22</v>
      </c>
      <c r="F85" s="2">
        <v>11.47</v>
      </c>
      <c r="G85" s="2">
        <v>3.77</v>
      </c>
      <c r="H85" s="2">
        <v>7.55</v>
      </c>
      <c r="I85" s="2">
        <v>1.32</v>
      </c>
      <c r="J85" s="2">
        <v>2.73</v>
      </c>
      <c r="K85" s="2">
        <v>10.4</v>
      </c>
      <c r="L85" s="2">
        <v>0.23</v>
      </c>
      <c r="M85" s="2">
        <v>3.04</v>
      </c>
      <c r="N85" s="2">
        <v>1.52</v>
      </c>
      <c r="O85" s="2">
        <v>8.7100000000000009</v>
      </c>
      <c r="P85" s="2">
        <v>2.86</v>
      </c>
    </row>
    <row r="86" spans="1:16">
      <c r="A86" s="171">
        <v>21</v>
      </c>
      <c r="B86" s="2">
        <v>6</v>
      </c>
      <c r="C86" s="2" t="s">
        <v>64</v>
      </c>
      <c r="D86" s="2" t="s">
        <v>59</v>
      </c>
      <c r="E86" s="2">
        <v>3.21</v>
      </c>
      <c r="F86" s="2">
        <v>3.61</v>
      </c>
      <c r="G86" s="2">
        <v>2.64</v>
      </c>
      <c r="H86" s="2">
        <v>2.74</v>
      </c>
      <c r="I86" s="2">
        <v>0.76</v>
      </c>
      <c r="J86" s="2">
        <v>1.36</v>
      </c>
      <c r="K86" s="2">
        <v>3</v>
      </c>
      <c r="L86" s="2">
        <v>0.61</v>
      </c>
      <c r="M86" s="2">
        <v>1.37</v>
      </c>
      <c r="N86" s="2">
        <v>1.32</v>
      </c>
      <c r="O86" s="2">
        <v>4.7699999999999996</v>
      </c>
      <c r="P86" s="2">
        <v>3.48</v>
      </c>
    </row>
    <row r="87" spans="1:16">
      <c r="A87" s="171">
        <v>21</v>
      </c>
      <c r="B87" s="2">
        <v>6</v>
      </c>
      <c r="C87" s="2" t="s">
        <v>64</v>
      </c>
      <c r="D87" s="2" t="s">
        <v>60</v>
      </c>
      <c r="E87" s="2">
        <v>1.08</v>
      </c>
      <c r="F87" s="2">
        <v>4.5999999999999996</v>
      </c>
      <c r="G87" s="2">
        <v>10.43</v>
      </c>
      <c r="H87" s="2">
        <v>8.6</v>
      </c>
      <c r="I87" s="2">
        <v>11.33</v>
      </c>
      <c r="J87" s="2">
        <v>14.03</v>
      </c>
      <c r="K87" s="2">
        <v>19.05</v>
      </c>
      <c r="L87" s="2">
        <v>5.05</v>
      </c>
      <c r="M87" s="2">
        <v>0.44</v>
      </c>
      <c r="N87" s="2">
        <v>0.53</v>
      </c>
      <c r="O87" s="2">
        <v>0.41</v>
      </c>
      <c r="P87" s="2">
        <v>0.92</v>
      </c>
    </row>
    <row r="88" spans="1:16">
      <c r="A88" s="171">
        <v>22</v>
      </c>
      <c r="B88" s="2">
        <v>6</v>
      </c>
      <c r="C88" s="2" t="s">
        <v>64</v>
      </c>
      <c r="D88" s="2" t="s">
        <v>57</v>
      </c>
      <c r="E88" s="2">
        <v>8.2799999999999994</v>
      </c>
      <c r="F88" s="2">
        <v>5.07</v>
      </c>
      <c r="G88" s="2">
        <v>3.95</v>
      </c>
      <c r="H88" s="2">
        <v>6.52</v>
      </c>
      <c r="I88" s="2">
        <v>2.67</v>
      </c>
      <c r="J88" s="2">
        <v>3.03</v>
      </c>
      <c r="K88" s="2">
        <v>7.1</v>
      </c>
      <c r="L88" s="2">
        <v>0.82</v>
      </c>
      <c r="M88" s="2">
        <v>1.28</v>
      </c>
      <c r="N88" s="2">
        <v>0.78</v>
      </c>
      <c r="O88" s="2">
        <v>1.9</v>
      </c>
      <c r="P88" s="2">
        <v>1.48</v>
      </c>
    </row>
    <row r="89" spans="1:16">
      <c r="A89" s="171">
        <v>22</v>
      </c>
      <c r="B89" s="2">
        <v>6</v>
      </c>
      <c r="C89" s="2" t="s">
        <v>64</v>
      </c>
      <c r="D89" s="2" t="s">
        <v>58</v>
      </c>
      <c r="E89" s="2">
        <v>9.15</v>
      </c>
      <c r="F89" s="2">
        <v>16.38</v>
      </c>
      <c r="G89" s="2">
        <v>6.13</v>
      </c>
      <c r="H89" s="2">
        <v>9.15</v>
      </c>
      <c r="I89" s="2">
        <v>2.38</v>
      </c>
      <c r="J89" s="2">
        <v>4.0199999999999996</v>
      </c>
      <c r="K89" s="2">
        <v>12.73</v>
      </c>
      <c r="L89" s="2">
        <v>1.38</v>
      </c>
      <c r="M89" s="2">
        <v>2.67</v>
      </c>
      <c r="N89" s="2">
        <v>1.79</v>
      </c>
      <c r="O89" s="2">
        <v>6.87</v>
      </c>
      <c r="P89" s="2">
        <v>2.57</v>
      </c>
    </row>
    <row r="90" spans="1:16">
      <c r="A90" s="171">
        <v>22</v>
      </c>
      <c r="B90" s="2">
        <v>6</v>
      </c>
      <c r="C90" s="2" t="s">
        <v>64</v>
      </c>
      <c r="D90" s="2" t="s">
        <v>59</v>
      </c>
      <c r="E90" s="2">
        <v>4.88</v>
      </c>
      <c r="F90" s="2">
        <v>2.38</v>
      </c>
      <c r="G90" s="2">
        <v>1.68</v>
      </c>
      <c r="H90" s="2">
        <v>4.72</v>
      </c>
      <c r="I90" s="2">
        <v>1.18</v>
      </c>
      <c r="J90" s="2">
        <v>1.44</v>
      </c>
      <c r="K90" s="2">
        <v>1.91</v>
      </c>
      <c r="L90" s="2">
        <v>0.49</v>
      </c>
      <c r="M90" s="2">
        <v>1.42</v>
      </c>
      <c r="N90" s="2">
        <v>0.5</v>
      </c>
      <c r="O90" s="2">
        <v>2.02</v>
      </c>
      <c r="P90" s="2">
        <v>1.42</v>
      </c>
    </row>
    <row r="91" spans="1:16">
      <c r="A91" s="171">
        <v>22</v>
      </c>
      <c r="B91" s="2">
        <v>6</v>
      </c>
      <c r="C91" s="2" t="s">
        <v>64</v>
      </c>
      <c r="D91" s="2" t="s">
        <v>60</v>
      </c>
      <c r="E91" s="2">
        <v>1.3</v>
      </c>
      <c r="F91" s="2">
        <v>4.75</v>
      </c>
      <c r="G91" s="2">
        <v>10.63</v>
      </c>
      <c r="H91" s="2">
        <v>8.57</v>
      </c>
      <c r="I91" s="2">
        <v>11.37</v>
      </c>
      <c r="J91" s="2">
        <v>14.12</v>
      </c>
      <c r="K91" s="2">
        <v>18.62</v>
      </c>
      <c r="L91" s="2">
        <v>29.7</v>
      </c>
      <c r="M91" s="2">
        <v>0.45</v>
      </c>
      <c r="N91" s="2">
        <v>0.55000000000000004</v>
      </c>
      <c r="O91" s="2">
        <v>0.42</v>
      </c>
      <c r="P91" s="2">
        <v>0.93</v>
      </c>
    </row>
    <row r="92" spans="1:16">
      <c r="A92" s="171">
        <v>23</v>
      </c>
      <c r="B92" s="2">
        <v>6</v>
      </c>
      <c r="C92" s="2" t="s">
        <v>64</v>
      </c>
      <c r="D92" s="2" t="s">
        <v>57</v>
      </c>
      <c r="E92" s="2">
        <v>6.52</v>
      </c>
      <c r="F92" s="2">
        <v>7.55</v>
      </c>
      <c r="G92" s="2">
        <v>2.78</v>
      </c>
      <c r="H92" s="2">
        <v>7.03</v>
      </c>
      <c r="I92" s="2">
        <v>1.85</v>
      </c>
      <c r="J92" s="2">
        <v>1.97</v>
      </c>
      <c r="K92" s="2">
        <v>4.8499999999999996</v>
      </c>
      <c r="L92" s="2">
        <v>1.2</v>
      </c>
      <c r="M92" s="2">
        <v>2.71</v>
      </c>
      <c r="N92" s="2">
        <v>1.07</v>
      </c>
      <c r="O92" s="2">
        <v>4.08</v>
      </c>
      <c r="P92" s="2">
        <v>1.5</v>
      </c>
    </row>
    <row r="93" spans="1:16">
      <c r="A93" s="171">
        <v>23</v>
      </c>
      <c r="B93" s="2">
        <v>6</v>
      </c>
      <c r="C93" s="2" t="s">
        <v>64</v>
      </c>
      <c r="D93" s="2" t="s">
        <v>58</v>
      </c>
      <c r="E93" s="2">
        <v>9.18</v>
      </c>
      <c r="F93" s="2">
        <v>19.23</v>
      </c>
      <c r="G93" s="2">
        <v>5.32</v>
      </c>
      <c r="H93" s="2">
        <v>10.8</v>
      </c>
      <c r="I93" s="2">
        <v>2.35</v>
      </c>
      <c r="J93" s="2">
        <v>4.93</v>
      </c>
      <c r="K93" s="2">
        <v>13.82</v>
      </c>
      <c r="L93" s="2">
        <v>0.15</v>
      </c>
      <c r="M93" s="2">
        <v>3.62</v>
      </c>
      <c r="N93" s="2">
        <v>1.78</v>
      </c>
      <c r="O93" s="2">
        <v>8.18</v>
      </c>
      <c r="P93" s="2">
        <v>2.2599999999999998</v>
      </c>
    </row>
    <row r="94" spans="1:16">
      <c r="A94" s="171">
        <v>23</v>
      </c>
      <c r="B94" s="2">
        <v>6</v>
      </c>
      <c r="C94" s="2" t="s">
        <v>64</v>
      </c>
      <c r="D94" s="2" t="s">
        <v>59</v>
      </c>
      <c r="E94" s="2">
        <v>3.17</v>
      </c>
      <c r="F94" s="2">
        <v>2.99</v>
      </c>
      <c r="G94" s="2">
        <v>2.09</v>
      </c>
      <c r="H94" s="2">
        <v>1.92</v>
      </c>
      <c r="I94" s="2">
        <v>1.03</v>
      </c>
      <c r="J94" s="2">
        <v>1.1200000000000001</v>
      </c>
      <c r="K94" s="2">
        <v>2.2400000000000002</v>
      </c>
      <c r="L94" s="2">
        <v>0.51</v>
      </c>
      <c r="M94" s="2">
        <v>1.43</v>
      </c>
      <c r="N94" s="2">
        <v>1.55</v>
      </c>
      <c r="O94" s="2">
        <v>2.89</v>
      </c>
      <c r="P94" s="2">
        <v>2.02</v>
      </c>
    </row>
    <row r="95" spans="1:16">
      <c r="A95" s="171">
        <v>23</v>
      </c>
      <c r="B95" s="2">
        <v>6</v>
      </c>
      <c r="C95" s="2" t="s">
        <v>64</v>
      </c>
      <c r="D95" s="2" t="s">
        <v>60</v>
      </c>
      <c r="E95" s="2">
        <v>1.4</v>
      </c>
      <c r="F95" s="2">
        <v>5</v>
      </c>
      <c r="G95" s="2">
        <v>10.62</v>
      </c>
      <c r="H95" s="2">
        <v>8.52</v>
      </c>
      <c r="I95" s="2">
        <v>11.38</v>
      </c>
      <c r="J95" s="2">
        <v>14.05</v>
      </c>
      <c r="K95" s="2">
        <v>18.48</v>
      </c>
      <c r="L95" s="2">
        <v>9.6</v>
      </c>
      <c r="M95" s="2">
        <v>0.47</v>
      </c>
      <c r="N95" s="2">
        <v>0.59</v>
      </c>
      <c r="O95" s="2">
        <v>0.44</v>
      </c>
      <c r="P95" s="2">
        <v>0.93</v>
      </c>
    </row>
    <row r="96" spans="1:16">
      <c r="A96" s="171">
        <v>24</v>
      </c>
      <c r="B96" s="2">
        <v>6</v>
      </c>
      <c r="C96" s="2" t="s">
        <v>64</v>
      </c>
      <c r="D96" s="2" t="s">
        <v>57</v>
      </c>
      <c r="E96" s="2">
        <v>5.63</v>
      </c>
      <c r="F96" s="2">
        <v>3.82</v>
      </c>
      <c r="G96" s="2">
        <v>4.43</v>
      </c>
      <c r="H96" s="2">
        <v>7.05</v>
      </c>
      <c r="I96" s="2">
        <v>2.63</v>
      </c>
      <c r="J96" s="2">
        <v>3.02</v>
      </c>
      <c r="K96" s="2">
        <v>3.73</v>
      </c>
      <c r="L96" s="2">
        <v>1.1200000000000001</v>
      </c>
      <c r="M96" s="2">
        <v>0.86</v>
      </c>
      <c r="N96" s="2">
        <v>0.54</v>
      </c>
      <c r="O96" s="2">
        <v>1.45</v>
      </c>
      <c r="P96" s="2">
        <v>1.68</v>
      </c>
    </row>
    <row r="97" spans="1:16">
      <c r="A97" s="171">
        <v>24</v>
      </c>
      <c r="B97" s="2">
        <v>6</v>
      </c>
      <c r="C97" s="2" t="s">
        <v>64</v>
      </c>
      <c r="D97" s="2" t="s">
        <v>58</v>
      </c>
      <c r="E97" s="2">
        <v>8.3699999999999992</v>
      </c>
      <c r="F97" s="2">
        <v>15.27</v>
      </c>
      <c r="G97" s="2">
        <v>7.67</v>
      </c>
      <c r="H97" s="2">
        <v>12.72</v>
      </c>
      <c r="I97" s="2">
        <v>3.47</v>
      </c>
      <c r="J97" s="2">
        <v>6.72</v>
      </c>
      <c r="K97" s="2">
        <v>12.23</v>
      </c>
      <c r="L97" s="2">
        <v>0</v>
      </c>
      <c r="M97" s="2">
        <v>1.99</v>
      </c>
      <c r="N97" s="2">
        <v>1.2</v>
      </c>
      <c r="O97" s="2">
        <v>4.4000000000000004</v>
      </c>
      <c r="P97" s="2">
        <v>2.21</v>
      </c>
    </row>
    <row r="98" spans="1:16">
      <c r="A98" s="171">
        <v>24</v>
      </c>
      <c r="B98" s="2">
        <v>6</v>
      </c>
      <c r="C98" s="2" t="s">
        <v>64</v>
      </c>
      <c r="D98" s="2" t="s">
        <v>59</v>
      </c>
      <c r="E98" s="2">
        <v>1.76</v>
      </c>
      <c r="F98" s="2">
        <v>2.2799999999999998</v>
      </c>
      <c r="G98" s="2">
        <v>3.63</v>
      </c>
      <c r="H98" s="2">
        <v>3.28</v>
      </c>
      <c r="I98" s="2">
        <v>1.47</v>
      </c>
      <c r="J98" s="2">
        <v>1.78</v>
      </c>
      <c r="K98" s="2">
        <v>2.56</v>
      </c>
      <c r="L98" s="2">
        <v>0.82</v>
      </c>
      <c r="M98" s="2">
        <v>0.63</v>
      </c>
      <c r="N98" s="2">
        <v>0.7</v>
      </c>
      <c r="O98" s="2">
        <v>1.56</v>
      </c>
      <c r="P98" s="2">
        <v>2.4700000000000002</v>
      </c>
    </row>
    <row r="99" spans="1:16">
      <c r="A99" s="171">
        <v>24</v>
      </c>
      <c r="B99" s="2">
        <v>6</v>
      </c>
      <c r="C99" s="2" t="s">
        <v>64</v>
      </c>
      <c r="D99" s="2" t="s">
        <v>60</v>
      </c>
      <c r="E99" s="2">
        <v>1.42</v>
      </c>
      <c r="F99" s="2">
        <v>5.18</v>
      </c>
      <c r="G99" s="2">
        <v>10.6</v>
      </c>
      <c r="H99" s="2">
        <v>8.57</v>
      </c>
      <c r="I99" s="2">
        <v>11.4</v>
      </c>
      <c r="J99" s="2">
        <v>13.92</v>
      </c>
      <c r="K99" s="2">
        <v>18.579999999999998</v>
      </c>
      <c r="L99" s="2">
        <v>0</v>
      </c>
      <c r="M99" s="2">
        <v>0.49</v>
      </c>
      <c r="N99" s="2">
        <v>0.6</v>
      </c>
      <c r="O99" s="2">
        <v>0.45</v>
      </c>
      <c r="P99" s="2">
        <v>0.93</v>
      </c>
    </row>
    <row r="100" spans="1:16">
      <c r="A100" s="171">
        <v>25</v>
      </c>
      <c r="B100" s="2">
        <v>6</v>
      </c>
      <c r="C100" s="2" t="s">
        <v>64</v>
      </c>
      <c r="D100" s="2" t="s">
        <v>57</v>
      </c>
      <c r="E100" s="2">
        <v>2.52</v>
      </c>
      <c r="F100" s="2">
        <v>4.78</v>
      </c>
      <c r="G100" s="2">
        <v>2.77</v>
      </c>
      <c r="H100" s="2">
        <v>3.3</v>
      </c>
      <c r="I100" s="2">
        <v>1.68</v>
      </c>
      <c r="J100" s="2">
        <v>2.2200000000000002</v>
      </c>
      <c r="K100" s="2">
        <v>5.23</v>
      </c>
      <c r="L100" s="2">
        <v>0.9</v>
      </c>
      <c r="M100" s="2">
        <v>1.73</v>
      </c>
      <c r="N100" s="2">
        <v>1.45</v>
      </c>
      <c r="O100" s="2">
        <v>2.84</v>
      </c>
      <c r="P100" s="2">
        <v>1.64</v>
      </c>
    </row>
    <row r="101" spans="1:16">
      <c r="A101" s="171">
        <v>25</v>
      </c>
      <c r="B101" s="2">
        <v>6</v>
      </c>
      <c r="C101" s="2" t="s">
        <v>64</v>
      </c>
      <c r="D101" s="2" t="s">
        <v>58</v>
      </c>
      <c r="E101" s="2">
        <v>7.68</v>
      </c>
      <c r="F101" s="2">
        <v>16.920000000000002</v>
      </c>
      <c r="G101" s="2">
        <v>5.53</v>
      </c>
      <c r="H101" s="2">
        <v>11.58</v>
      </c>
      <c r="I101" s="2">
        <v>2.17</v>
      </c>
      <c r="J101" s="2">
        <v>6.35</v>
      </c>
      <c r="K101" s="2">
        <v>13.52</v>
      </c>
      <c r="L101" s="2">
        <v>0</v>
      </c>
      <c r="M101" s="2">
        <v>3.06</v>
      </c>
      <c r="N101" s="2">
        <v>1.46</v>
      </c>
      <c r="O101" s="2">
        <v>7.81</v>
      </c>
      <c r="P101" s="2">
        <v>2.5499999999999998</v>
      </c>
    </row>
    <row r="102" spans="1:16">
      <c r="A102" s="171">
        <v>25</v>
      </c>
      <c r="B102" s="2">
        <v>6</v>
      </c>
      <c r="C102" s="2" t="s">
        <v>64</v>
      </c>
      <c r="D102" s="2" t="s">
        <v>59</v>
      </c>
      <c r="E102" s="2">
        <v>2.21</v>
      </c>
      <c r="F102" s="2">
        <v>3.1</v>
      </c>
      <c r="G102" s="2">
        <v>1.98</v>
      </c>
      <c r="H102" s="2">
        <v>2.04</v>
      </c>
      <c r="I102" s="2">
        <v>0.7</v>
      </c>
      <c r="J102" s="2">
        <v>1.5</v>
      </c>
      <c r="K102" s="2">
        <v>2.79</v>
      </c>
      <c r="L102" s="2">
        <v>0.56999999999999995</v>
      </c>
      <c r="M102" s="2">
        <v>1.57</v>
      </c>
      <c r="N102" s="2">
        <v>1.52</v>
      </c>
      <c r="O102" s="2">
        <v>4.45</v>
      </c>
      <c r="P102" s="2">
        <v>2.83</v>
      </c>
    </row>
    <row r="103" spans="1:16">
      <c r="A103" s="171">
        <v>25</v>
      </c>
      <c r="B103" s="2">
        <v>6</v>
      </c>
      <c r="C103" s="2" t="s">
        <v>64</v>
      </c>
      <c r="D103" s="2" t="s">
        <v>60</v>
      </c>
      <c r="E103" s="2">
        <v>1.35</v>
      </c>
      <c r="F103" s="2">
        <v>4.78</v>
      </c>
      <c r="G103" s="2">
        <v>10.45</v>
      </c>
      <c r="H103" s="2">
        <v>8.6199999999999992</v>
      </c>
      <c r="I103" s="2">
        <v>11.3</v>
      </c>
      <c r="J103" s="2">
        <v>14.17</v>
      </c>
      <c r="K103" s="2">
        <v>18.5</v>
      </c>
      <c r="L103" s="2">
        <v>0</v>
      </c>
      <c r="M103" s="2">
        <v>0.46</v>
      </c>
      <c r="N103" s="2">
        <v>0.55000000000000004</v>
      </c>
      <c r="O103" s="2">
        <v>0.42</v>
      </c>
      <c r="P103" s="2">
        <v>0.92</v>
      </c>
    </row>
    <row r="104" spans="1:16">
      <c r="A104" s="171">
        <v>26</v>
      </c>
      <c r="B104" s="2">
        <v>6</v>
      </c>
      <c r="C104" s="2" t="s">
        <v>64</v>
      </c>
      <c r="D104" s="2" t="s">
        <v>57</v>
      </c>
      <c r="E104" s="2">
        <v>4.7300000000000004</v>
      </c>
      <c r="F104" s="2">
        <v>6.12</v>
      </c>
      <c r="G104" s="2">
        <v>4.62</v>
      </c>
      <c r="H104" s="2">
        <v>6.03</v>
      </c>
      <c r="I104" s="2">
        <v>2.63</v>
      </c>
      <c r="J104" s="2">
        <v>2.25</v>
      </c>
      <c r="K104" s="2">
        <v>4.05</v>
      </c>
      <c r="L104" s="2">
        <v>1.18</v>
      </c>
      <c r="M104" s="2">
        <v>1.32</v>
      </c>
      <c r="N104" s="2">
        <v>1.01</v>
      </c>
      <c r="O104" s="2">
        <v>2.3199999999999998</v>
      </c>
      <c r="P104" s="2">
        <v>1.75</v>
      </c>
    </row>
    <row r="105" spans="1:16">
      <c r="A105" s="171">
        <v>26</v>
      </c>
      <c r="B105" s="2">
        <v>6</v>
      </c>
      <c r="C105" s="2" t="s">
        <v>64</v>
      </c>
      <c r="D105" s="2" t="s">
        <v>58</v>
      </c>
      <c r="E105" s="2">
        <v>8.1</v>
      </c>
      <c r="F105" s="2">
        <v>15.27</v>
      </c>
      <c r="G105" s="2">
        <v>7.8</v>
      </c>
      <c r="H105" s="2">
        <v>13.1</v>
      </c>
      <c r="I105" s="2">
        <v>2.58</v>
      </c>
      <c r="J105" s="2">
        <v>4.07</v>
      </c>
      <c r="K105" s="2">
        <v>11.1</v>
      </c>
      <c r="L105" s="2">
        <v>0</v>
      </c>
      <c r="M105" s="2">
        <v>1.96</v>
      </c>
      <c r="N105" s="2">
        <v>1.17</v>
      </c>
      <c r="O105" s="2">
        <v>5.91</v>
      </c>
      <c r="P105" s="2">
        <v>3.02</v>
      </c>
    </row>
    <row r="106" spans="1:16">
      <c r="A106" s="171">
        <v>26</v>
      </c>
      <c r="B106" s="2">
        <v>6</v>
      </c>
      <c r="C106" s="2" t="s">
        <v>64</v>
      </c>
      <c r="D106" s="2" t="s">
        <v>59</v>
      </c>
      <c r="E106" s="2">
        <v>3.67</v>
      </c>
      <c r="F106" s="2">
        <v>2.4700000000000002</v>
      </c>
      <c r="G106" s="2">
        <v>1.44</v>
      </c>
      <c r="H106" s="2">
        <v>2.5099999999999998</v>
      </c>
      <c r="I106" s="2">
        <v>0.77</v>
      </c>
      <c r="J106" s="2">
        <v>0.88</v>
      </c>
      <c r="K106" s="2">
        <v>2</v>
      </c>
      <c r="L106" s="2">
        <v>0.33</v>
      </c>
      <c r="M106" s="2">
        <v>1.71</v>
      </c>
      <c r="N106" s="2">
        <v>0.99</v>
      </c>
      <c r="O106" s="2">
        <v>3.19</v>
      </c>
      <c r="P106" s="2">
        <v>1.87</v>
      </c>
    </row>
    <row r="107" spans="1:16">
      <c r="A107" s="171">
        <v>26</v>
      </c>
      <c r="B107" s="2">
        <v>6</v>
      </c>
      <c r="C107" s="2" t="s">
        <v>64</v>
      </c>
      <c r="D107" s="2" t="s">
        <v>60</v>
      </c>
      <c r="E107" s="2">
        <v>1.4</v>
      </c>
      <c r="F107" s="2">
        <v>4.92</v>
      </c>
      <c r="G107" s="2">
        <v>10.5</v>
      </c>
      <c r="H107" s="2">
        <v>8.5500000000000007</v>
      </c>
      <c r="I107" s="2">
        <v>11.28</v>
      </c>
      <c r="J107" s="2">
        <v>14.05</v>
      </c>
      <c r="K107" s="2">
        <v>18.62</v>
      </c>
      <c r="L107" s="2">
        <v>0</v>
      </c>
      <c r="M107" s="2">
        <v>0.47</v>
      </c>
      <c r="N107" s="2">
        <v>0.57999999999999996</v>
      </c>
      <c r="O107" s="2">
        <v>0.44</v>
      </c>
      <c r="P107" s="2">
        <v>0.93</v>
      </c>
    </row>
    <row r="108" spans="1:16">
      <c r="A108" s="171">
        <v>27</v>
      </c>
      <c r="B108" s="2">
        <v>6</v>
      </c>
      <c r="C108" s="2" t="s">
        <v>64</v>
      </c>
      <c r="D108" s="2" t="s">
        <v>57</v>
      </c>
      <c r="E108" s="2">
        <v>3.42</v>
      </c>
      <c r="F108" s="2">
        <v>2.35</v>
      </c>
      <c r="G108" s="2">
        <v>3.08</v>
      </c>
      <c r="H108" s="2">
        <v>5.3</v>
      </c>
      <c r="I108" s="2">
        <v>1.6</v>
      </c>
      <c r="J108" s="2">
        <v>3.52</v>
      </c>
      <c r="K108" s="2">
        <v>2.93</v>
      </c>
      <c r="L108" s="2">
        <v>0.83</v>
      </c>
      <c r="M108" s="2">
        <v>0.76</v>
      </c>
      <c r="N108" s="2">
        <v>0.44</v>
      </c>
      <c r="O108" s="2">
        <v>1.47</v>
      </c>
      <c r="P108" s="2">
        <v>1.93</v>
      </c>
    </row>
    <row r="109" spans="1:16">
      <c r="A109" s="171">
        <v>27</v>
      </c>
      <c r="B109" s="2">
        <v>6</v>
      </c>
      <c r="C109" s="2" t="s">
        <v>64</v>
      </c>
      <c r="D109" s="2" t="s">
        <v>58</v>
      </c>
      <c r="E109" s="2">
        <v>6.67</v>
      </c>
      <c r="F109" s="2">
        <v>15.35</v>
      </c>
      <c r="G109" s="2">
        <v>6.85</v>
      </c>
      <c r="H109" s="2">
        <v>11.17</v>
      </c>
      <c r="I109" s="2">
        <v>2.87</v>
      </c>
      <c r="J109" s="2">
        <v>6.07</v>
      </c>
      <c r="K109" s="2">
        <v>12.35</v>
      </c>
      <c r="L109" s="2">
        <v>0</v>
      </c>
      <c r="M109" s="2">
        <v>2.2400000000000002</v>
      </c>
      <c r="N109" s="2">
        <v>1.37</v>
      </c>
      <c r="O109" s="2">
        <v>5.35</v>
      </c>
      <c r="P109" s="2">
        <v>2.39</v>
      </c>
    </row>
    <row r="110" spans="1:16">
      <c r="A110" s="171">
        <v>27</v>
      </c>
      <c r="B110" s="2">
        <v>6</v>
      </c>
      <c r="C110" s="2" t="s">
        <v>64</v>
      </c>
      <c r="D110" s="2" t="s">
        <v>59</v>
      </c>
      <c r="E110" s="2">
        <v>2.88</v>
      </c>
      <c r="F110" s="2">
        <v>1.55</v>
      </c>
      <c r="G110" s="2">
        <v>1.53</v>
      </c>
      <c r="H110" s="2">
        <v>2.76</v>
      </c>
      <c r="I110" s="2">
        <v>1.1299999999999999</v>
      </c>
      <c r="J110" s="2">
        <v>1.89</v>
      </c>
      <c r="K110" s="2">
        <v>1.53</v>
      </c>
      <c r="L110" s="2">
        <v>0.35</v>
      </c>
      <c r="M110" s="2">
        <v>1.01</v>
      </c>
      <c r="N110" s="2">
        <v>0.56000000000000005</v>
      </c>
      <c r="O110" s="2">
        <v>1.37</v>
      </c>
      <c r="P110" s="2">
        <v>1.36</v>
      </c>
    </row>
    <row r="111" spans="1:16">
      <c r="A111" s="171">
        <v>27</v>
      </c>
      <c r="B111" s="2">
        <v>6</v>
      </c>
      <c r="C111" s="2" t="s">
        <v>64</v>
      </c>
      <c r="D111" s="2" t="s">
        <v>60</v>
      </c>
      <c r="E111" s="2">
        <v>1.32</v>
      </c>
      <c r="F111" s="2">
        <v>4.87</v>
      </c>
      <c r="G111" s="2">
        <v>10.5</v>
      </c>
      <c r="H111" s="2">
        <v>8.5299999999999994</v>
      </c>
      <c r="I111" s="2">
        <v>11.37</v>
      </c>
      <c r="J111" s="2">
        <v>13.95</v>
      </c>
      <c r="K111" s="2">
        <v>18.25</v>
      </c>
      <c r="L111" s="2">
        <v>14</v>
      </c>
      <c r="M111" s="2">
        <v>0.46</v>
      </c>
      <c r="N111" s="2">
        <v>0.56999999999999995</v>
      </c>
      <c r="O111" s="2">
        <v>0.43</v>
      </c>
      <c r="P111" s="2">
        <v>0.92</v>
      </c>
    </row>
    <row r="112" spans="1:16">
      <c r="A112" s="171">
        <v>28</v>
      </c>
      <c r="B112" s="2">
        <v>6</v>
      </c>
      <c r="C112" s="2" t="s">
        <v>64</v>
      </c>
      <c r="D112" s="2" t="s">
        <v>57</v>
      </c>
      <c r="E112" s="2">
        <v>4.07</v>
      </c>
      <c r="F112" s="2">
        <v>4.97</v>
      </c>
      <c r="G112" s="2">
        <v>4.4800000000000004</v>
      </c>
      <c r="H112" s="2">
        <v>6.82</v>
      </c>
      <c r="I112" s="2">
        <v>2.52</v>
      </c>
      <c r="J112" s="2">
        <v>1.72</v>
      </c>
      <c r="K112" s="2">
        <v>4.8</v>
      </c>
      <c r="L112" s="2">
        <v>0.65</v>
      </c>
      <c r="M112" s="2">
        <v>1.1100000000000001</v>
      </c>
      <c r="N112" s="2">
        <v>0.73</v>
      </c>
      <c r="O112" s="2">
        <v>1.97</v>
      </c>
      <c r="P112" s="2">
        <v>1.78</v>
      </c>
    </row>
    <row r="113" spans="1:16">
      <c r="A113" s="171">
        <v>28</v>
      </c>
      <c r="B113" s="2">
        <v>6</v>
      </c>
      <c r="C113" s="2" t="s">
        <v>64</v>
      </c>
      <c r="D113" s="2" t="s">
        <v>58</v>
      </c>
      <c r="E113" s="2">
        <v>6.93</v>
      </c>
      <c r="F113" s="2">
        <v>17.63</v>
      </c>
      <c r="G113" s="2">
        <v>7.3</v>
      </c>
      <c r="H113" s="2">
        <v>11.97</v>
      </c>
      <c r="I113" s="2">
        <v>2.42</v>
      </c>
      <c r="J113" s="2">
        <v>3.55</v>
      </c>
      <c r="K113" s="2">
        <v>15.48</v>
      </c>
      <c r="L113" s="2">
        <v>0</v>
      </c>
      <c r="M113" s="2">
        <v>2.42</v>
      </c>
      <c r="N113" s="2">
        <v>1.47</v>
      </c>
      <c r="O113" s="2">
        <v>7.3</v>
      </c>
      <c r="P113" s="2">
        <v>3.02</v>
      </c>
    </row>
    <row r="114" spans="1:16">
      <c r="A114" s="171">
        <v>28</v>
      </c>
      <c r="B114" s="2">
        <v>6</v>
      </c>
      <c r="C114" s="2" t="s">
        <v>64</v>
      </c>
      <c r="D114" s="2" t="s">
        <v>59</v>
      </c>
      <c r="E114" s="2">
        <v>2</v>
      </c>
      <c r="F114" s="2">
        <v>2.56</v>
      </c>
      <c r="G114" s="2">
        <v>2.4500000000000002</v>
      </c>
      <c r="H114" s="2">
        <v>3.19</v>
      </c>
      <c r="I114" s="2">
        <v>0.97</v>
      </c>
      <c r="J114" s="2">
        <v>0.6</v>
      </c>
      <c r="K114" s="2">
        <v>1.63</v>
      </c>
      <c r="L114" s="2">
        <v>0.37</v>
      </c>
      <c r="M114" s="2">
        <v>1.05</v>
      </c>
      <c r="N114" s="2">
        <v>0.8</v>
      </c>
      <c r="O114" s="2">
        <v>2.64</v>
      </c>
      <c r="P114" s="2">
        <v>2.52</v>
      </c>
    </row>
    <row r="115" spans="1:16">
      <c r="A115" s="171">
        <v>28</v>
      </c>
      <c r="B115" s="2">
        <v>6</v>
      </c>
      <c r="C115" s="2" t="s">
        <v>64</v>
      </c>
      <c r="D115" s="2" t="s">
        <v>60</v>
      </c>
      <c r="E115" s="2">
        <v>1.4</v>
      </c>
      <c r="F115" s="2">
        <v>5.22</v>
      </c>
      <c r="G115" s="2">
        <v>10.57</v>
      </c>
      <c r="H115" s="2">
        <v>8.5</v>
      </c>
      <c r="I115" s="2">
        <v>11.28</v>
      </c>
      <c r="J115" s="2">
        <v>13.97</v>
      </c>
      <c r="K115" s="2">
        <v>18.48</v>
      </c>
      <c r="L115" s="2">
        <v>0</v>
      </c>
      <c r="M115" s="2">
        <v>0.49</v>
      </c>
      <c r="N115" s="2">
        <v>0.61</v>
      </c>
      <c r="O115" s="2">
        <v>0.46</v>
      </c>
      <c r="P115" s="2">
        <v>0.94</v>
      </c>
    </row>
    <row r="116" spans="1:16">
      <c r="A116" s="171">
        <v>29</v>
      </c>
      <c r="B116" s="2">
        <v>6</v>
      </c>
      <c r="C116" s="2" t="s">
        <v>64</v>
      </c>
      <c r="D116" s="2" t="s">
        <v>57</v>
      </c>
      <c r="E116" s="2">
        <v>5.9</v>
      </c>
      <c r="F116" s="2">
        <v>3.4</v>
      </c>
      <c r="G116" s="2">
        <v>3.13</v>
      </c>
      <c r="H116" s="2">
        <v>4.7</v>
      </c>
      <c r="I116" s="2">
        <v>1.63</v>
      </c>
      <c r="J116" s="2">
        <v>2.52</v>
      </c>
      <c r="K116" s="2">
        <v>4.47</v>
      </c>
      <c r="L116" s="2">
        <v>1.07</v>
      </c>
      <c r="M116" s="2">
        <v>1.0900000000000001</v>
      </c>
      <c r="N116" s="2">
        <v>0.72</v>
      </c>
      <c r="O116" s="2">
        <v>2.08</v>
      </c>
      <c r="P116" s="2">
        <v>1.92</v>
      </c>
    </row>
    <row r="117" spans="1:16">
      <c r="A117" s="171">
        <v>29</v>
      </c>
      <c r="B117" s="2">
        <v>6</v>
      </c>
      <c r="C117" s="2" t="s">
        <v>64</v>
      </c>
      <c r="D117" s="2" t="s">
        <v>58</v>
      </c>
      <c r="E117" s="2">
        <v>9.52</v>
      </c>
      <c r="F117" s="2">
        <v>14.5</v>
      </c>
      <c r="G117" s="2">
        <v>7.27</v>
      </c>
      <c r="H117" s="2">
        <v>13.02</v>
      </c>
      <c r="I117" s="2">
        <v>2.68</v>
      </c>
      <c r="J117" s="2">
        <v>4.3499999999999996</v>
      </c>
      <c r="K117" s="2">
        <v>12.32</v>
      </c>
      <c r="L117" s="2">
        <v>0</v>
      </c>
      <c r="M117" s="2">
        <v>2</v>
      </c>
      <c r="N117" s="2">
        <v>1.1100000000000001</v>
      </c>
      <c r="O117" s="2">
        <v>5.4</v>
      </c>
      <c r="P117" s="2">
        <v>2.71</v>
      </c>
    </row>
    <row r="118" spans="1:16">
      <c r="A118" s="171">
        <v>29</v>
      </c>
      <c r="B118" s="2">
        <v>6</v>
      </c>
      <c r="C118" s="2" t="s">
        <v>64</v>
      </c>
      <c r="D118" s="2" t="s">
        <v>59</v>
      </c>
      <c r="E118" s="2">
        <v>2.5299999999999998</v>
      </c>
      <c r="F118" s="2">
        <v>1.51</v>
      </c>
      <c r="G118" s="2">
        <v>1.05</v>
      </c>
      <c r="H118" s="2">
        <v>2.86</v>
      </c>
      <c r="I118" s="2">
        <v>1.1299999999999999</v>
      </c>
      <c r="J118" s="2">
        <v>1.43</v>
      </c>
      <c r="K118" s="2">
        <v>1.51</v>
      </c>
      <c r="L118" s="2">
        <v>0.36</v>
      </c>
      <c r="M118" s="2">
        <v>1.45</v>
      </c>
      <c r="N118" s="2">
        <v>0.53</v>
      </c>
      <c r="O118" s="2">
        <v>1.33</v>
      </c>
      <c r="P118" s="2">
        <v>0.92</v>
      </c>
    </row>
    <row r="119" spans="1:16">
      <c r="A119" s="171">
        <v>29</v>
      </c>
      <c r="B119" s="2">
        <v>6</v>
      </c>
      <c r="C119" s="2" t="s">
        <v>64</v>
      </c>
      <c r="D119" s="2" t="s">
        <v>60</v>
      </c>
      <c r="E119" s="2">
        <v>1.4</v>
      </c>
      <c r="F119" s="2">
        <v>4.82</v>
      </c>
      <c r="G119" s="2">
        <v>10.53</v>
      </c>
      <c r="H119" s="2">
        <v>8.6</v>
      </c>
      <c r="I119" s="2">
        <v>11.35</v>
      </c>
      <c r="J119" s="2">
        <v>14</v>
      </c>
      <c r="K119" s="2">
        <v>18.8</v>
      </c>
      <c r="L119" s="2">
        <v>0</v>
      </c>
      <c r="M119" s="2">
        <v>0.46</v>
      </c>
      <c r="N119" s="2">
        <v>0.56000000000000005</v>
      </c>
      <c r="O119" s="2">
        <v>0.42</v>
      </c>
      <c r="P119" s="2">
        <v>0.93</v>
      </c>
    </row>
    <row r="120" spans="1:16">
      <c r="A120" s="171">
        <v>30</v>
      </c>
      <c r="B120" s="2">
        <v>7</v>
      </c>
      <c r="C120" s="2" t="s">
        <v>64</v>
      </c>
      <c r="D120" s="2" t="s">
        <v>57</v>
      </c>
      <c r="E120" s="2">
        <v>6.2</v>
      </c>
      <c r="F120" s="2">
        <v>5.49</v>
      </c>
      <c r="G120" s="2">
        <v>3.81</v>
      </c>
      <c r="H120" s="2">
        <v>5.79</v>
      </c>
      <c r="I120" s="2">
        <v>2.71</v>
      </c>
      <c r="J120" s="2">
        <v>3.21</v>
      </c>
      <c r="K120" s="2">
        <v>3.5</v>
      </c>
      <c r="L120" s="2">
        <v>1.1599999999999999</v>
      </c>
      <c r="M120" s="2">
        <v>1.44</v>
      </c>
      <c r="N120" s="2">
        <v>0.95</v>
      </c>
      <c r="O120" s="2">
        <v>2.02</v>
      </c>
      <c r="P120" s="2">
        <v>1.41</v>
      </c>
    </row>
    <row r="121" spans="1:16">
      <c r="A121" s="171">
        <v>30</v>
      </c>
      <c r="B121" s="2">
        <v>7</v>
      </c>
      <c r="C121" s="2" t="s">
        <v>64</v>
      </c>
      <c r="D121" s="2" t="s">
        <v>58</v>
      </c>
      <c r="E121" s="2">
        <v>8.39</v>
      </c>
      <c r="F121" s="2">
        <v>14.44</v>
      </c>
      <c r="G121" s="2">
        <v>6.37</v>
      </c>
      <c r="H121" s="2">
        <v>8.49</v>
      </c>
      <c r="I121" s="2">
        <v>2.73</v>
      </c>
      <c r="J121" s="2">
        <v>4.1900000000000004</v>
      </c>
      <c r="K121" s="2">
        <v>16.09</v>
      </c>
      <c r="L121" s="2">
        <v>1.81</v>
      </c>
      <c r="M121" s="2">
        <v>2.27</v>
      </c>
      <c r="N121" s="2">
        <v>1.7</v>
      </c>
      <c r="O121" s="2">
        <v>5.29</v>
      </c>
      <c r="P121" s="2">
        <v>2.33</v>
      </c>
    </row>
    <row r="122" spans="1:16">
      <c r="A122" s="171">
        <v>30</v>
      </c>
      <c r="B122" s="2">
        <v>7</v>
      </c>
      <c r="C122" s="2" t="s">
        <v>64</v>
      </c>
      <c r="D122" s="2" t="s">
        <v>59</v>
      </c>
      <c r="E122" s="2">
        <v>6.23</v>
      </c>
      <c r="F122" s="2">
        <v>2.14</v>
      </c>
      <c r="G122" s="2">
        <v>2.1</v>
      </c>
      <c r="H122" s="2">
        <v>1.58</v>
      </c>
      <c r="I122" s="2">
        <v>1.55</v>
      </c>
      <c r="J122" s="2">
        <v>1.23</v>
      </c>
      <c r="K122" s="2">
        <v>1.49</v>
      </c>
      <c r="L122" s="2">
        <v>0.51</v>
      </c>
      <c r="M122" s="2">
        <v>1.02</v>
      </c>
      <c r="N122" s="2">
        <v>1.35</v>
      </c>
      <c r="O122" s="2">
        <v>1.38</v>
      </c>
      <c r="P122" s="2">
        <v>1.35</v>
      </c>
    </row>
    <row r="123" spans="1:16">
      <c r="A123" s="171">
        <v>30</v>
      </c>
      <c r="B123" s="2">
        <v>7</v>
      </c>
      <c r="C123" s="2" t="s">
        <v>64</v>
      </c>
      <c r="D123" s="2" t="s">
        <v>60</v>
      </c>
      <c r="E123" s="2">
        <v>1.29</v>
      </c>
      <c r="F123" s="2">
        <v>5.03</v>
      </c>
      <c r="G123" s="2">
        <v>10.69</v>
      </c>
      <c r="H123" s="2">
        <v>8.4600000000000009</v>
      </c>
      <c r="I123" s="2">
        <v>11.41</v>
      </c>
      <c r="J123" s="2">
        <v>13.87</v>
      </c>
      <c r="K123" s="2">
        <v>18.73</v>
      </c>
      <c r="L123" s="2">
        <v>4.59</v>
      </c>
      <c r="M123" s="2">
        <v>0.47</v>
      </c>
      <c r="N123" s="2">
        <v>0.59</v>
      </c>
      <c r="O123" s="2">
        <v>0.44</v>
      </c>
      <c r="P123" s="2">
        <v>0.94</v>
      </c>
    </row>
  </sheetData>
  <printOptions horizontalCentered="1" verticalCentered="1" headings="1" gridLines="1"/>
  <pageMargins left="0.2" right="0.2" top="0.25" bottom="0.25" header="0.3" footer="0.3"/>
  <pageSetup scale="41" orientation="portrait" r:id="rId1"/>
</worksheet>
</file>

<file path=xl/worksheets/sheet3.xml><?xml version="1.0" encoding="utf-8"?>
<worksheet xmlns="http://schemas.openxmlformats.org/spreadsheetml/2006/main" xmlns:r="http://schemas.openxmlformats.org/officeDocument/2006/relationships">
  <sheetPr codeName="Sheet2">
    <pageSetUpPr fitToPage="1"/>
  </sheetPr>
  <dimension ref="A1:Q93"/>
  <sheetViews>
    <sheetView topLeftCell="I66" zoomScale="90" zoomScaleNormal="90" zoomScalePageLayoutView="70" workbookViewId="0">
      <selection activeCell="O70" sqref="O70"/>
    </sheetView>
  </sheetViews>
  <sheetFormatPr defaultRowHeight="12.75"/>
  <cols>
    <col min="1" max="1" width="63" style="95" customWidth="1"/>
    <col min="2" max="2" width="11.28515625" style="150" customWidth="1"/>
    <col min="3" max="3" width="11.140625" style="95" customWidth="1"/>
    <col min="4" max="4" width="4.42578125" style="95" customWidth="1"/>
    <col min="5" max="5" width="11.140625" style="36" customWidth="1"/>
    <col min="6" max="6" width="15.140625" style="51" hidden="1" customWidth="1"/>
    <col min="7" max="8" width="10.5703125" style="126" customWidth="1"/>
    <col min="9" max="9" width="11.42578125" style="130" customWidth="1"/>
    <col min="10" max="10" width="12.7109375" style="130" customWidth="1"/>
    <col min="11" max="11" width="1.42578125" style="36" customWidth="1"/>
    <col min="12" max="12" width="64.140625" style="160" hidden="1" customWidth="1"/>
    <col min="13" max="13" width="67.140625" style="160" customWidth="1"/>
    <col min="14" max="14" width="59.85546875" style="160" hidden="1" customWidth="1"/>
    <col min="15" max="15" width="9.28515625" style="95" customWidth="1"/>
    <col min="16" max="16" width="81.42578125" style="137" customWidth="1"/>
    <col min="17" max="17" width="1.5703125" style="95" customWidth="1"/>
    <col min="18" max="231" width="9.140625" style="95"/>
    <col min="232" max="232" width="62.28515625" style="95" customWidth="1"/>
    <col min="233" max="233" width="15.28515625" style="95" customWidth="1"/>
    <col min="234" max="234" width="15.85546875" style="95" customWidth="1"/>
    <col min="235" max="235" width="22.5703125" style="95" customWidth="1"/>
    <col min="236" max="236" width="15.5703125" style="95" customWidth="1"/>
    <col min="237" max="239" width="9.140625" style="95"/>
    <col min="240" max="240" width="27" style="95" customWidth="1"/>
    <col min="241" max="241" width="46.140625" style="95" customWidth="1"/>
    <col min="242" max="242" width="45" style="95" customWidth="1"/>
    <col min="243" max="243" width="11.28515625" style="95" customWidth="1"/>
    <col min="244" max="244" width="12.42578125" style="95" customWidth="1"/>
    <col min="245" max="487" width="9.140625" style="95"/>
    <col min="488" max="488" width="62.28515625" style="95" customWidth="1"/>
    <col min="489" max="489" width="15.28515625" style="95" customWidth="1"/>
    <col min="490" max="490" width="15.85546875" style="95" customWidth="1"/>
    <col min="491" max="491" width="22.5703125" style="95" customWidth="1"/>
    <col min="492" max="492" width="15.5703125" style="95" customWidth="1"/>
    <col min="493" max="495" width="9.140625" style="95"/>
    <col min="496" max="496" width="27" style="95" customWidth="1"/>
    <col min="497" max="497" width="46.140625" style="95" customWidth="1"/>
    <col min="498" max="498" width="45" style="95" customWidth="1"/>
    <col min="499" max="499" width="11.28515625" style="95" customWidth="1"/>
    <col min="500" max="500" width="12.42578125" style="95" customWidth="1"/>
    <col min="501" max="743" width="9.140625" style="95"/>
    <col min="744" max="744" width="62.28515625" style="95" customWidth="1"/>
    <col min="745" max="745" width="15.28515625" style="95" customWidth="1"/>
    <col min="746" max="746" width="15.85546875" style="95" customWidth="1"/>
    <col min="747" max="747" width="22.5703125" style="95" customWidth="1"/>
    <col min="748" max="748" width="15.5703125" style="95" customWidth="1"/>
    <col min="749" max="751" width="9.140625" style="95"/>
    <col min="752" max="752" width="27" style="95" customWidth="1"/>
    <col min="753" max="753" width="46.140625" style="95" customWidth="1"/>
    <col min="754" max="754" width="45" style="95" customWidth="1"/>
    <col min="755" max="755" width="11.28515625" style="95" customWidth="1"/>
    <col min="756" max="756" width="12.42578125" style="95" customWidth="1"/>
    <col min="757" max="999" width="9.140625" style="95"/>
    <col min="1000" max="1000" width="62.28515625" style="95" customWidth="1"/>
    <col min="1001" max="1001" width="15.28515625" style="95" customWidth="1"/>
    <col min="1002" max="1002" width="15.85546875" style="95" customWidth="1"/>
    <col min="1003" max="1003" width="22.5703125" style="95" customWidth="1"/>
    <col min="1004" max="1004" width="15.5703125" style="95" customWidth="1"/>
    <col min="1005" max="1007" width="9.140625" style="95"/>
    <col min="1008" max="1008" width="27" style="95" customWidth="1"/>
    <col min="1009" max="1009" width="46.140625" style="95" customWidth="1"/>
    <col min="1010" max="1010" width="45" style="95" customWidth="1"/>
    <col min="1011" max="1011" width="11.28515625" style="95" customWidth="1"/>
    <col min="1012" max="1012" width="12.42578125" style="95" customWidth="1"/>
    <col min="1013" max="1255" width="9.140625" style="95"/>
    <col min="1256" max="1256" width="62.28515625" style="95" customWidth="1"/>
    <col min="1257" max="1257" width="15.28515625" style="95" customWidth="1"/>
    <col min="1258" max="1258" width="15.85546875" style="95" customWidth="1"/>
    <col min="1259" max="1259" width="22.5703125" style="95" customWidth="1"/>
    <col min="1260" max="1260" width="15.5703125" style="95" customWidth="1"/>
    <col min="1261" max="1263" width="9.140625" style="95"/>
    <col min="1264" max="1264" width="27" style="95" customWidth="1"/>
    <col min="1265" max="1265" width="46.140625" style="95" customWidth="1"/>
    <col min="1266" max="1266" width="45" style="95" customWidth="1"/>
    <col min="1267" max="1267" width="11.28515625" style="95" customWidth="1"/>
    <col min="1268" max="1268" width="12.42578125" style="95" customWidth="1"/>
    <col min="1269" max="1511" width="9.140625" style="95"/>
    <col min="1512" max="1512" width="62.28515625" style="95" customWidth="1"/>
    <col min="1513" max="1513" width="15.28515625" style="95" customWidth="1"/>
    <col min="1514" max="1514" width="15.85546875" style="95" customWidth="1"/>
    <col min="1515" max="1515" width="22.5703125" style="95" customWidth="1"/>
    <col min="1516" max="1516" width="15.5703125" style="95" customWidth="1"/>
    <col min="1517" max="1519" width="9.140625" style="95"/>
    <col min="1520" max="1520" width="27" style="95" customWidth="1"/>
    <col min="1521" max="1521" width="46.140625" style="95" customWidth="1"/>
    <col min="1522" max="1522" width="45" style="95" customWidth="1"/>
    <col min="1523" max="1523" width="11.28515625" style="95" customWidth="1"/>
    <col min="1524" max="1524" width="12.42578125" style="95" customWidth="1"/>
    <col min="1525" max="1767" width="9.140625" style="95"/>
    <col min="1768" max="1768" width="62.28515625" style="95" customWidth="1"/>
    <col min="1769" max="1769" width="15.28515625" style="95" customWidth="1"/>
    <col min="1770" max="1770" width="15.85546875" style="95" customWidth="1"/>
    <col min="1771" max="1771" width="22.5703125" style="95" customWidth="1"/>
    <col min="1772" max="1772" width="15.5703125" style="95" customWidth="1"/>
    <col min="1773" max="1775" width="9.140625" style="95"/>
    <col min="1776" max="1776" width="27" style="95" customWidth="1"/>
    <col min="1777" max="1777" width="46.140625" style="95" customWidth="1"/>
    <col min="1778" max="1778" width="45" style="95" customWidth="1"/>
    <col min="1779" max="1779" width="11.28515625" style="95" customWidth="1"/>
    <col min="1780" max="1780" width="12.42578125" style="95" customWidth="1"/>
    <col min="1781" max="2023" width="9.140625" style="95"/>
    <col min="2024" max="2024" width="62.28515625" style="95" customWidth="1"/>
    <col min="2025" max="2025" width="15.28515625" style="95" customWidth="1"/>
    <col min="2026" max="2026" width="15.85546875" style="95" customWidth="1"/>
    <col min="2027" max="2027" width="22.5703125" style="95" customWidth="1"/>
    <col min="2028" max="2028" width="15.5703125" style="95" customWidth="1"/>
    <col min="2029" max="2031" width="9.140625" style="95"/>
    <col min="2032" max="2032" width="27" style="95" customWidth="1"/>
    <col min="2033" max="2033" width="46.140625" style="95" customWidth="1"/>
    <col min="2034" max="2034" width="45" style="95" customWidth="1"/>
    <col min="2035" max="2035" width="11.28515625" style="95" customWidth="1"/>
    <col min="2036" max="2036" width="12.42578125" style="95" customWidth="1"/>
    <col min="2037" max="2279" width="9.140625" style="95"/>
    <col min="2280" max="2280" width="62.28515625" style="95" customWidth="1"/>
    <col min="2281" max="2281" width="15.28515625" style="95" customWidth="1"/>
    <col min="2282" max="2282" width="15.85546875" style="95" customWidth="1"/>
    <col min="2283" max="2283" width="22.5703125" style="95" customWidth="1"/>
    <col min="2284" max="2284" width="15.5703125" style="95" customWidth="1"/>
    <col min="2285" max="2287" width="9.140625" style="95"/>
    <col min="2288" max="2288" width="27" style="95" customWidth="1"/>
    <col min="2289" max="2289" width="46.140625" style="95" customWidth="1"/>
    <col min="2290" max="2290" width="45" style="95" customWidth="1"/>
    <col min="2291" max="2291" width="11.28515625" style="95" customWidth="1"/>
    <col min="2292" max="2292" width="12.42578125" style="95" customWidth="1"/>
    <col min="2293" max="2535" width="9.140625" style="95"/>
    <col min="2536" max="2536" width="62.28515625" style="95" customWidth="1"/>
    <col min="2537" max="2537" width="15.28515625" style="95" customWidth="1"/>
    <col min="2538" max="2538" width="15.85546875" style="95" customWidth="1"/>
    <col min="2539" max="2539" width="22.5703125" style="95" customWidth="1"/>
    <col min="2540" max="2540" width="15.5703125" style="95" customWidth="1"/>
    <col min="2541" max="2543" width="9.140625" style="95"/>
    <col min="2544" max="2544" width="27" style="95" customWidth="1"/>
    <col min="2545" max="2545" width="46.140625" style="95" customWidth="1"/>
    <col min="2546" max="2546" width="45" style="95" customWidth="1"/>
    <col min="2547" max="2547" width="11.28515625" style="95" customWidth="1"/>
    <col min="2548" max="2548" width="12.42578125" style="95" customWidth="1"/>
    <col min="2549" max="2791" width="9.140625" style="95"/>
    <col min="2792" max="2792" width="62.28515625" style="95" customWidth="1"/>
    <col min="2793" max="2793" width="15.28515625" style="95" customWidth="1"/>
    <col min="2794" max="2794" width="15.85546875" style="95" customWidth="1"/>
    <col min="2795" max="2795" width="22.5703125" style="95" customWidth="1"/>
    <col min="2796" max="2796" width="15.5703125" style="95" customWidth="1"/>
    <col min="2797" max="2799" width="9.140625" style="95"/>
    <col min="2800" max="2800" width="27" style="95" customWidth="1"/>
    <col min="2801" max="2801" width="46.140625" style="95" customWidth="1"/>
    <col min="2802" max="2802" width="45" style="95" customWidth="1"/>
    <col min="2803" max="2803" width="11.28515625" style="95" customWidth="1"/>
    <col min="2804" max="2804" width="12.42578125" style="95" customWidth="1"/>
    <col min="2805" max="3047" width="9.140625" style="95"/>
    <col min="3048" max="3048" width="62.28515625" style="95" customWidth="1"/>
    <col min="3049" max="3049" width="15.28515625" style="95" customWidth="1"/>
    <col min="3050" max="3050" width="15.85546875" style="95" customWidth="1"/>
    <col min="3051" max="3051" width="22.5703125" style="95" customWidth="1"/>
    <col min="3052" max="3052" width="15.5703125" style="95" customWidth="1"/>
    <col min="3053" max="3055" width="9.140625" style="95"/>
    <col min="3056" max="3056" width="27" style="95" customWidth="1"/>
    <col min="3057" max="3057" width="46.140625" style="95" customWidth="1"/>
    <col min="3058" max="3058" width="45" style="95" customWidth="1"/>
    <col min="3059" max="3059" width="11.28515625" style="95" customWidth="1"/>
    <col min="3060" max="3060" width="12.42578125" style="95" customWidth="1"/>
    <col min="3061" max="3303" width="9.140625" style="95"/>
    <col min="3304" max="3304" width="62.28515625" style="95" customWidth="1"/>
    <col min="3305" max="3305" width="15.28515625" style="95" customWidth="1"/>
    <col min="3306" max="3306" width="15.85546875" style="95" customWidth="1"/>
    <col min="3307" max="3307" width="22.5703125" style="95" customWidth="1"/>
    <col min="3308" max="3308" width="15.5703125" style="95" customWidth="1"/>
    <col min="3309" max="3311" width="9.140625" style="95"/>
    <col min="3312" max="3312" width="27" style="95" customWidth="1"/>
    <col min="3313" max="3313" width="46.140625" style="95" customWidth="1"/>
    <col min="3314" max="3314" width="45" style="95" customWidth="1"/>
    <col min="3315" max="3315" width="11.28515625" style="95" customWidth="1"/>
    <col min="3316" max="3316" width="12.42578125" style="95" customWidth="1"/>
    <col min="3317" max="3559" width="9.140625" style="95"/>
    <col min="3560" max="3560" width="62.28515625" style="95" customWidth="1"/>
    <col min="3561" max="3561" width="15.28515625" style="95" customWidth="1"/>
    <col min="3562" max="3562" width="15.85546875" style="95" customWidth="1"/>
    <col min="3563" max="3563" width="22.5703125" style="95" customWidth="1"/>
    <col min="3564" max="3564" width="15.5703125" style="95" customWidth="1"/>
    <col min="3565" max="3567" width="9.140625" style="95"/>
    <col min="3568" max="3568" width="27" style="95" customWidth="1"/>
    <col min="3569" max="3569" width="46.140625" style="95" customWidth="1"/>
    <col min="3570" max="3570" width="45" style="95" customWidth="1"/>
    <col min="3571" max="3571" width="11.28515625" style="95" customWidth="1"/>
    <col min="3572" max="3572" width="12.42578125" style="95" customWidth="1"/>
    <col min="3573" max="3815" width="9.140625" style="95"/>
    <col min="3816" max="3816" width="62.28515625" style="95" customWidth="1"/>
    <col min="3817" max="3817" width="15.28515625" style="95" customWidth="1"/>
    <col min="3818" max="3818" width="15.85546875" style="95" customWidth="1"/>
    <col min="3819" max="3819" width="22.5703125" style="95" customWidth="1"/>
    <col min="3820" max="3820" width="15.5703125" style="95" customWidth="1"/>
    <col min="3821" max="3823" width="9.140625" style="95"/>
    <col min="3824" max="3824" width="27" style="95" customWidth="1"/>
    <col min="3825" max="3825" width="46.140625" style="95" customWidth="1"/>
    <col min="3826" max="3826" width="45" style="95" customWidth="1"/>
    <col min="3827" max="3827" width="11.28515625" style="95" customWidth="1"/>
    <col min="3828" max="3828" width="12.42578125" style="95" customWidth="1"/>
    <col min="3829" max="4071" width="9.140625" style="95"/>
    <col min="4072" max="4072" width="62.28515625" style="95" customWidth="1"/>
    <col min="4073" max="4073" width="15.28515625" style="95" customWidth="1"/>
    <col min="4074" max="4074" width="15.85546875" style="95" customWidth="1"/>
    <col min="4075" max="4075" width="22.5703125" style="95" customWidth="1"/>
    <col min="4076" max="4076" width="15.5703125" style="95" customWidth="1"/>
    <col min="4077" max="4079" width="9.140625" style="95"/>
    <col min="4080" max="4080" width="27" style="95" customWidth="1"/>
    <col min="4081" max="4081" width="46.140625" style="95" customWidth="1"/>
    <col min="4082" max="4082" width="45" style="95" customWidth="1"/>
    <col min="4083" max="4083" width="11.28515625" style="95" customWidth="1"/>
    <col min="4084" max="4084" width="12.42578125" style="95" customWidth="1"/>
    <col min="4085" max="4327" width="9.140625" style="95"/>
    <col min="4328" max="4328" width="62.28515625" style="95" customWidth="1"/>
    <col min="4329" max="4329" width="15.28515625" style="95" customWidth="1"/>
    <col min="4330" max="4330" width="15.85546875" style="95" customWidth="1"/>
    <col min="4331" max="4331" width="22.5703125" style="95" customWidth="1"/>
    <col min="4332" max="4332" width="15.5703125" style="95" customWidth="1"/>
    <col min="4333" max="4335" width="9.140625" style="95"/>
    <col min="4336" max="4336" width="27" style="95" customWidth="1"/>
    <col min="4337" max="4337" width="46.140625" style="95" customWidth="1"/>
    <col min="4338" max="4338" width="45" style="95" customWidth="1"/>
    <col min="4339" max="4339" width="11.28515625" style="95" customWidth="1"/>
    <col min="4340" max="4340" width="12.42578125" style="95" customWidth="1"/>
    <col min="4341" max="4583" width="9.140625" style="95"/>
    <col min="4584" max="4584" width="62.28515625" style="95" customWidth="1"/>
    <col min="4585" max="4585" width="15.28515625" style="95" customWidth="1"/>
    <col min="4586" max="4586" width="15.85546875" style="95" customWidth="1"/>
    <col min="4587" max="4587" width="22.5703125" style="95" customWidth="1"/>
    <col min="4588" max="4588" width="15.5703125" style="95" customWidth="1"/>
    <col min="4589" max="4591" width="9.140625" style="95"/>
    <col min="4592" max="4592" width="27" style="95" customWidth="1"/>
    <col min="4593" max="4593" width="46.140625" style="95" customWidth="1"/>
    <col min="4594" max="4594" width="45" style="95" customWidth="1"/>
    <col min="4595" max="4595" width="11.28515625" style="95" customWidth="1"/>
    <col min="4596" max="4596" width="12.42578125" style="95" customWidth="1"/>
    <col min="4597" max="4839" width="9.140625" style="95"/>
    <col min="4840" max="4840" width="62.28515625" style="95" customWidth="1"/>
    <col min="4841" max="4841" width="15.28515625" style="95" customWidth="1"/>
    <col min="4842" max="4842" width="15.85546875" style="95" customWidth="1"/>
    <col min="4843" max="4843" width="22.5703125" style="95" customWidth="1"/>
    <col min="4844" max="4844" width="15.5703125" style="95" customWidth="1"/>
    <col min="4845" max="4847" width="9.140625" style="95"/>
    <col min="4848" max="4848" width="27" style="95" customWidth="1"/>
    <col min="4849" max="4849" width="46.140625" style="95" customWidth="1"/>
    <col min="4850" max="4850" width="45" style="95" customWidth="1"/>
    <col min="4851" max="4851" width="11.28515625" style="95" customWidth="1"/>
    <col min="4852" max="4852" width="12.42578125" style="95" customWidth="1"/>
    <col min="4853" max="5095" width="9.140625" style="95"/>
    <col min="5096" max="5096" width="62.28515625" style="95" customWidth="1"/>
    <col min="5097" max="5097" width="15.28515625" style="95" customWidth="1"/>
    <col min="5098" max="5098" width="15.85546875" style="95" customWidth="1"/>
    <col min="5099" max="5099" width="22.5703125" style="95" customWidth="1"/>
    <col min="5100" max="5100" width="15.5703125" style="95" customWidth="1"/>
    <col min="5101" max="5103" width="9.140625" style="95"/>
    <col min="5104" max="5104" width="27" style="95" customWidth="1"/>
    <col min="5105" max="5105" width="46.140625" style="95" customWidth="1"/>
    <col min="5106" max="5106" width="45" style="95" customWidth="1"/>
    <col min="5107" max="5107" width="11.28515625" style="95" customWidth="1"/>
    <col min="5108" max="5108" width="12.42578125" style="95" customWidth="1"/>
    <col min="5109" max="5351" width="9.140625" style="95"/>
    <col min="5352" max="5352" width="62.28515625" style="95" customWidth="1"/>
    <col min="5353" max="5353" width="15.28515625" style="95" customWidth="1"/>
    <col min="5354" max="5354" width="15.85546875" style="95" customWidth="1"/>
    <col min="5355" max="5355" width="22.5703125" style="95" customWidth="1"/>
    <col min="5356" max="5356" width="15.5703125" style="95" customWidth="1"/>
    <col min="5357" max="5359" width="9.140625" style="95"/>
    <col min="5360" max="5360" width="27" style="95" customWidth="1"/>
    <col min="5361" max="5361" width="46.140625" style="95" customWidth="1"/>
    <col min="5362" max="5362" width="45" style="95" customWidth="1"/>
    <col min="5363" max="5363" width="11.28515625" style="95" customWidth="1"/>
    <col min="5364" max="5364" width="12.42578125" style="95" customWidth="1"/>
    <col min="5365" max="5607" width="9.140625" style="95"/>
    <col min="5608" max="5608" width="62.28515625" style="95" customWidth="1"/>
    <col min="5609" max="5609" width="15.28515625" style="95" customWidth="1"/>
    <col min="5610" max="5610" width="15.85546875" style="95" customWidth="1"/>
    <col min="5611" max="5611" width="22.5703125" style="95" customWidth="1"/>
    <col min="5612" max="5612" width="15.5703125" style="95" customWidth="1"/>
    <col min="5613" max="5615" width="9.140625" style="95"/>
    <col min="5616" max="5616" width="27" style="95" customWidth="1"/>
    <col min="5617" max="5617" width="46.140625" style="95" customWidth="1"/>
    <col min="5618" max="5618" width="45" style="95" customWidth="1"/>
    <col min="5619" max="5619" width="11.28515625" style="95" customWidth="1"/>
    <col min="5620" max="5620" width="12.42578125" style="95" customWidth="1"/>
    <col min="5621" max="5863" width="9.140625" style="95"/>
    <col min="5864" max="5864" width="62.28515625" style="95" customWidth="1"/>
    <col min="5865" max="5865" width="15.28515625" style="95" customWidth="1"/>
    <col min="5866" max="5866" width="15.85546875" style="95" customWidth="1"/>
    <col min="5867" max="5867" width="22.5703125" style="95" customWidth="1"/>
    <col min="5868" max="5868" width="15.5703125" style="95" customWidth="1"/>
    <col min="5869" max="5871" width="9.140625" style="95"/>
    <col min="5872" max="5872" width="27" style="95" customWidth="1"/>
    <col min="5873" max="5873" width="46.140625" style="95" customWidth="1"/>
    <col min="5874" max="5874" width="45" style="95" customWidth="1"/>
    <col min="5875" max="5875" width="11.28515625" style="95" customWidth="1"/>
    <col min="5876" max="5876" width="12.42578125" style="95" customWidth="1"/>
    <col min="5877" max="6119" width="9.140625" style="95"/>
    <col min="6120" max="6120" width="62.28515625" style="95" customWidth="1"/>
    <col min="6121" max="6121" width="15.28515625" style="95" customWidth="1"/>
    <col min="6122" max="6122" width="15.85546875" style="95" customWidth="1"/>
    <col min="6123" max="6123" width="22.5703125" style="95" customWidth="1"/>
    <col min="6124" max="6124" width="15.5703125" style="95" customWidth="1"/>
    <col min="6125" max="6127" width="9.140625" style="95"/>
    <col min="6128" max="6128" width="27" style="95" customWidth="1"/>
    <col min="6129" max="6129" width="46.140625" style="95" customWidth="1"/>
    <col min="6130" max="6130" width="45" style="95" customWidth="1"/>
    <col min="6131" max="6131" width="11.28515625" style="95" customWidth="1"/>
    <col min="6132" max="6132" width="12.42578125" style="95" customWidth="1"/>
    <col min="6133" max="6375" width="9.140625" style="95"/>
    <col min="6376" max="6376" width="62.28515625" style="95" customWidth="1"/>
    <col min="6377" max="6377" width="15.28515625" style="95" customWidth="1"/>
    <col min="6378" max="6378" width="15.85546875" style="95" customWidth="1"/>
    <col min="6379" max="6379" width="22.5703125" style="95" customWidth="1"/>
    <col min="6380" max="6380" width="15.5703125" style="95" customWidth="1"/>
    <col min="6381" max="6383" width="9.140625" style="95"/>
    <col min="6384" max="6384" width="27" style="95" customWidth="1"/>
    <col min="6385" max="6385" width="46.140625" style="95" customWidth="1"/>
    <col min="6386" max="6386" width="45" style="95" customWidth="1"/>
    <col min="6387" max="6387" width="11.28515625" style="95" customWidth="1"/>
    <col min="6388" max="6388" width="12.42578125" style="95" customWidth="1"/>
    <col min="6389" max="6631" width="9.140625" style="95"/>
    <col min="6632" max="6632" width="62.28515625" style="95" customWidth="1"/>
    <col min="6633" max="6633" width="15.28515625" style="95" customWidth="1"/>
    <col min="6634" max="6634" width="15.85546875" style="95" customWidth="1"/>
    <col min="6635" max="6635" width="22.5703125" style="95" customWidth="1"/>
    <col min="6636" max="6636" width="15.5703125" style="95" customWidth="1"/>
    <col min="6637" max="6639" width="9.140625" style="95"/>
    <col min="6640" max="6640" width="27" style="95" customWidth="1"/>
    <col min="6641" max="6641" width="46.140625" style="95" customWidth="1"/>
    <col min="6642" max="6642" width="45" style="95" customWidth="1"/>
    <col min="6643" max="6643" width="11.28515625" style="95" customWidth="1"/>
    <col min="6644" max="6644" width="12.42578125" style="95" customWidth="1"/>
    <col min="6645" max="6887" width="9.140625" style="95"/>
    <col min="6888" max="6888" width="62.28515625" style="95" customWidth="1"/>
    <col min="6889" max="6889" width="15.28515625" style="95" customWidth="1"/>
    <col min="6890" max="6890" width="15.85546875" style="95" customWidth="1"/>
    <col min="6891" max="6891" width="22.5703125" style="95" customWidth="1"/>
    <col min="6892" max="6892" width="15.5703125" style="95" customWidth="1"/>
    <col min="6893" max="6895" width="9.140625" style="95"/>
    <col min="6896" max="6896" width="27" style="95" customWidth="1"/>
    <col min="6897" max="6897" width="46.140625" style="95" customWidth="1"/>
    <col min="6898" max="6898" width="45" style="95" customWidth="1"/>
    <col min="6899" max="6899" width="11.28515625" style="95" customWidth="1"/>
    <col min="6900" max="6900" width="12.42578125" style="95" customWidth="1"/>
    <col min="6901" max="7143" width="9.140625" style="95"/>
    <col min="7144" max="7144" width="62.28515625" style="95" customWidth="1"/>
    <col min="7145" max="7145" width="15.28515625" style="95" customWidth="1"/>
    <col min="7146" max="7146" width="15.85546875" style="95" customWidth="1"/>
    <col min="7147" max="7147" width="22.5703125" style="95" customWidth="1"/>
    <col min="7148" max="7148" width="15.5703125" style="95" customWidth="1"/>
    <col min="7149" max="7151" width="9.140625" style="95"/>
    <col min="7152" max="7152" width="27" style="95" customWidth="1"/>
    <col min="7153" max="7153" width="46.140625" style="95" customWidth="1"/>
    <col min="7154" max="7154" width="45" style="95" customWidth="1"/>
    <col min="7155" max="7155" width="11.28515625" style="95" customWidth="1"/>
    <col min="7156" max="7156" width="12.42578125" style="95" customWidth="1"/>
    <col min="7157" max="7399" width="9.140625" style="95"/>
    <col min="7400" max="7400" width="62.28515625" style="95" customWidth="1"/>
    <col min="7401" max="7401" width="15.28515625" style="95" customWidth="1"/>
    <col min="7402" max="7402" width="15.85546875" style="95" customWidth="1"/>
    <col min="7403" max="7403" width="22.5703125" style="95" customWidth="1"/>
    <col min="7404" max="7404" width="15.5703125" style="95" customWidth="1"/>
    <col min="7405" max="7407" width="9.140625" style="95"/>
    <col min="7408" max="7408" width="27" style="95" customWidth="1"/>
    <col min="7409" max="7409" width="46.140625" style="95" customWidth="1"/>
    <col min="7410" max="7410" width="45" style="95" customWidth="1"/>
    <col min="7411" max="7411" width="11.28515625" style="95" customWidth="1"/>
    <col min="7412" max="7412" width="12.42578125" style="95" customWidth="1"/>
    <col min="7413" max="7655" width="9.140625" style="95"/>
    <col min="7656" max="7656" width="62.28515625" style="95" customWidth="1"/>
    <col min="7657" max="7657" width="15.28515625" style="95" customWidth="1"/>
    <col min="7658" max="7658" width="15.85546875" style="95" customWidth="1"/>
    <col min="7659" max="7659" width="22.5703125" style="95" customWidth="1"/>
    <col min="7660" max="7660" width="15.5703125" style="95" customWidth="1"/>
    <col min="7661" max="7663" width="9.140625" style="95"/>
    <col min="7664" max="7664" width="27" style="95" customWidth="1"/>
    <col min="7665" max="7665" width="46.140625" style="95" customWidth="1"/>
    <col min="7666" max="7666" width="45" style="95" customWidth="1"/>
    <col min="7667" max="7667" width="11.28515625" style="95" customWidth="1"/>
    <col min="7668" max="7668" width="12.42578125" style="95" customWidth="1"/>
    <col min="7669" max="7911" width="9.140625" style="95"/>
    <col min="7912" max="7912" width="62.28515625" style="95" customWidth="1"/>
    <col min="7913" max="7913" width="15.28515625" style="95" customWidth="1"/>
    <col min="7914" max="7914" width="15.85546875" style="95" customWidth="1"/>
    <col min="7915" max="7915" width="22.5703125" style="95" customWidth="1"/>
    <col min="7916" max="7916" width="15.5703125" style="95" customWidth="1"/>
    <col min="7917" max="7919" width="9.140625" style="95"/>
    <col min="7920" max="7920" width="27" style="95" customWidth="1"/>
    <col min="7921" max="7921" width="46.140625" style="95" customWidth="1"/>
    <col min="7922" max="7922" width="45" style="95" customWidth="1"/>
    <col min="7923" max="7923" width="11.28515625" style="95" customWidth="1"/>
    <col min="7924" max="7924" width="12.42578125" style="95" customWidth="1"/>
    <col min="7925" max="8167" width="9.140625" style="95"/>
    <col min="8168" max="8168" width="62.28515625" style="95" customWidth="1"/>
    <col min="8169" max="8169" width="15.28515625" style="95" customWidth="1"/>
    <col min="8170" max="8170" width="15.85546875" style="95" customWidth="1"/>
    <col min="8171" max="8171" width="22.5703125" style="95" customWidth="1"/>
    <col min="8172" max="8172" width="15.5703125" style="95" customWidth="1"/>
    <col min="8173" max="8175" width="9.140625" style="95"/>
    <col min="8176" max="8176" width="27" style="95" customWidth="1"/>
    <col min="8177" max="8177" width="46.140625" style="95" customWidth="1"/>
    <col min="8178" max="8178" width="45" style="95" customWidth="1"/>
    <col min="8179" max="8179" width="11.28515625" style="95" customWidth="1"/>
    <col min="8180" max="8180" width="12.42578125" style="95" customWidth="1"/>
    <col min="8181" max="8423" width="9.140625" style="95"/>
    <col min="8424" max="8424" width="62.28515625" style="95" customWidth="1"/>
    <col min="8425" max="8425" width="15.28515625" style="95" customWidth="1"/>
    <col min="8426" max="8426" width="15.85546875" style="95" customWidth="1"/>
    <col min="8427" max="8427" width="22.5703125" style="95" customWidth="1"/>
    <col min="8428" max="8428" width="15.5703125" style="95" customWidth="1"/>
    <col min="8429" max="8431" width="9.140625" style="95"/>
    <col min="8432" max="8432" width="27" style="95" customWidth="1"/>
    <col min="8433" max="8433" width="46.140625" style="95" customWidth="1"/>
    <col min="8434" max="8434" width="45" style="95" customWidth="1"/>
    <col min="8435" max="8435" width="11.28515625" style="95" customWidth="1"/>
    <col min="8436" max="8436" width="12.42578125" style="95" customWidth="1"/>
    <col min="8437" max="8679" width="9.140625" style="95"/>
    <col min="8680" max="8680" width="62.28515625" style="95" customWidth="1"/>
    <col min="8681" max="8681" width="15.28515625" style="95" customWidth="1"/>
    <col min="8682" max="8682" width="15.85546875" style="95" customWidth="1"/>
    <col min="8683" max="8683" width="22.5703125" style="95" customWidth="1"/>
    <col min="8684" max="8684" width="15.5703125" style="95" customWidth="1"/>
    <col min="8685" max="8687" width="9.140625" style="95"/>
    <col min="8688" max="8688" width="27" style="95" customWidth="1"/>
    <col min="8689" max="8689" width="46.140625" style="95" customWidth="1"/>
    <col min="8690" max="8690" width="45" style="95" customWidth="1"/>
    <col min="8691" max="8691" width="11.28515625" style="95" customWidth="1"/>
    <col min="8692" max="8692" width="12.42578125" style="95" customWidth="1"/>
    <col min="8693" max="8935" width="9.140625" style="95"/>
    <col min="8936" max="8936" width="62.28515625" style="95" customWidth="1"/>
    <col min="8937" max="8937" width="15.28515625" style="95" customWidth="1"/>
    <col min="8938" max="8938" width="15.85546875" style="95" customWidth="1"/>
    <col min="8939" max="8939" width="22.5703125" style="95" customWidth="1"/>
    <col min="8940" max="8940" width="15.5703125" style="95" customWidth="1"/>
    <col min="8941" max="8943" width="9.140625" style="95"/>
    <col min="8944" max="8944" width="27" style="95" customWidth="1"/>
    <col min="8945" max="8945" width="46.140625" style="95" customWidth="1"/>
    <col min="8946" max="8946" width="45" style="95" customWidth="1"/>
    <col min="8947" max="8947" width="11.28515625" style="95" customWidth="1"/>
    <col min="8948" max="8948" width="12.42578125" style="95" customWidth="1"/>
    <col min="8949" max="9191" width="9.140625" style="95"/>
    <col min="9192" max="9192" width="62.28515625" style="95" customWidth="1"/>
    <col min="9193" max="9193" width="15.28515625" style="95" customWidth="1"/>
    <col min="9194" max="9194" width="15.85546875" style="95" customWidth="1"/>
    <col min="9195" max="9195" width="22.5703125" style="95" customWidth="1"/>
    <col min="9196" max="9196" width="15.5703125" style="95" customWidth="1"/>
    <col min="9197" max="9199" width="9.140625" style="95"/>
    <col min="9200" max="9200" width="27" style="95" customWidth="1"/>
    <col min="9201" max="9201" width="46.140625" style="95" customWidth="1"/>
    <col min="9202" max="9202" width="45" style="95" customWidth="1"/>
    <col min="9203" max="9203" width="11.28515625" style="95" customWidth="1"/>
    <col min="9204" max="9204" width="12.42578125" style="95" customWidth="1"/>
    <col min="9205" max="9447" width="9.140625" style="95"/>
    <col min="9448" max="9448" width="62.28515625" style="95" customWidth="1"/>
    <col min="9449" max="9449" width="15.28515625" style="95" customWidth="1"/>
    <col min="9450" max="9450" width="15.85546875" style="95" customWidth="1"/>
    <col min="9451" max="9451" width="22.5703125" style="95" customWidth="1"/>
    <col min="9452" max="9452" width="15.5703125" style="95" customWidth="1"/>
    <col min="9453" max="9455" width="9.140625" style="95"/>
    <col min="9456" max="9456" width="27" style="95" customWidth="1"/>
    <col min="9457" max="9457" width="46.140625" style="95" customWidth="1"/>
    <col min="9458" max="9458" width="45" style="95" customWidth="1"/>
    <col min="9459" max="9459" width="11.28515625" style="95" customWidth="1"/>
    <col min="9460" max="9460" width="12.42578125" style="95" customWidth="1"/>
    <col min="9461" max="9703" width="9.140625" style="95"/>
    <col min="9704" max="9704" width="62.28515625" style="95" customWidth="1"/>
    <col min="9705" max="9705" width="15.28515625" style="95" customWidth="1"/>
    <col min="9706" max="9706" width="15.85546875" style="95" customWidth="1"/>
    <col min="9707" max="9707" width="22.5703125" style="95" customWidth="1"/>
    <col min="9708" max="9708" width="15.5703125" style="95" customWidth="1"/>
    <col min="9709" max="9711" width="9.140625" style="95"/>
    <col min="9712" max="9712" width="27" style="95" customWidth="1"/>
    <col min="9713" max="9713" width="46.140625" style="95" customWidth="1"/>
    <col min="9714" max="9714" width="45" style="95" customWidth="1"/>
    <col min="9715" max="9715" width="11.28515625" style="95" customWidth="1"/>
    <col min="9716" max="9716" width="12.42578125" style="95" customWidth="1"/>
    <col min="9717" max="9959" width="9.140625" style="95"/>
    <col min="9960" max="9960" width="62.28515625" style="95" customWidth="1"/>
    <col min="9961" max="9961" width="15.28515625" style="95" customWidth="1"/>
    <col min="9962" max="9962" width="15.85546875" style="95" customWidth="1"/>
    <col min="9963" max="9963" width="22.5703125" style="95" customWidth="1"/>
    <col min="9964" max="9964" width="15.5703125" style="95" customWidth="1"/>
    <col min="9965" max="9967" width="9.140625" style="95"/>
    <col min="9968" max="9968" width="27" style="95" customWidth="1"/>
    <col min="9969" max="9969" width="46.140625" style="95" customWidth="1"/>
    <col min="9970" max="9970" width="45" style="95" customWidth="1"/>
    <col min="9971" max="9971" width="11.28515625" style="95" customWidth="1"/>
    <col min="9972" max="9972" width="12.42578125" style="95" customWidth="1"/>
    <col min="9973" max="10215" width="9.140625" style="95"/>
    <col min="10216" max="10216" width="62.28515625" style="95" customWidth="1"/>
    <col min="10217" max="10217" width="15.28515625" style="95" customWidth="1"/>
    <col min="10218" max="10218" width="15.85546875" style="95" customWidth="1"/>
    <col min="10219" max="10219" width="22.5703125" style="95" customWidth="1"/>
    <col min="10220" max="10220" width="15.5703125" style="95" customWidth="1"/>
    <col min="10221" max="10223" width="9.140625" style="95"/>
    <col min="10224" max="10224" width="27" style="95" customWidth="1"/>
    <col min="10225" max="10225" width="46.140625" style="95" customWidth="1"/>
    <col min="10226" max="10226" width="45" style="95" customWidth="1"/>
    <col min="10227" max="10227" width="11.28515625" style="95" customWidth="1"/>
    <col min="10228" max="10228" width="12.42578125" style="95" customWidth="1"/>
    <col min="10229" max="10471" width="9.140625" style="95"/>
    <col min="10472" max="10472" width="62.28515625" style="95" customWidth="1"/>
    <col min="10473" max="10473" width="15.28515625" style="95" customWidth="1"/>
    <col min="10474" max="10474" width="15.85546875" style="95" customWidth="1"/>
    <col min="10475" max="10475" width="22.5703125" style="95" customWidth="1"/>
    <col min="10476" max="10476" width="15.5703125" style="95" customWidth="1"/>
    <col min="10477" max="10479" width="9.140625" style="95"/>
    <col min="10480" max="10480" width="27" style="95" customWidth="1"/>
    <col min="10481" max="10481" width="46.140625" style="95" customWidth="1"/>
    <col min="10482" max="10482" width="45" style="95" customWidth="1"/>
    <col min="10483" max="10483" width="11.28515625" style="95" customWidth="1"/>
    <col min="10484" max="10484" width="12.42578125" style="95" customWidth="1"/>
    <col min="10485" max="10727" width="9.140625" style="95"/>
    <col min="10728" max="10728" width="62.28515625" style="95" customWidth="1"/>
    <col min="10729" max="10729" width="15.28515625" style="95" customWidth="1"/>
    <col min="10730" max="10730" width="15.85546875" style="95" customWidth="1"/>
    <col min="10731" max="10731" width="22.5703125" style="95" customWidth="1"/>
    <col min="10732" max="10732" width="15.5703125" style="95" customWidth="1"/>
    <col min="10733" max="10735" width="9.140625" style="95"/>
    <col min="10736" max="10736" width="27" style="95" customWidth="1"/>
    <col min="10737" max="10737" width="46.140625" style="95" customWidth="1"/>
    <col min="10738" max="10738" width="45" style="95" customWidth="1"/>
    <col min="10739" max="10739" width="11.28515625" style="95" customWidth="1"/>
    <col min="10740" max="10740" width="12.42578125" style="95" customWidth="1"/>
    <col min="10741" max="10983" width="9.140625" style="95"/>
    <col min="10984" max="10984" width="62.28515625" style="95" customWidth="1"/>
    <col min="10985" max="10985" width="15.28515625" style="95" customWidth="1"/>
    <col min="10986" max="10986" width="15.85546875" style="95" customWidth="1"/>
    <col min="10987" max="10987" width="22.5703125" style="95" customWidth="1"/>
    <col min="10988" max="10988" width="15.5703125" style="95" customWidth="1"/>
    <col min="10989" max="10991" width="9.140625" style="95"/>
    <col min="10992" max="10992" width="27" style="95" customWidth="1"/>
    <col min="10993" max="10993" width="46.140625" style="95" customWidth="1"/>
    <col min="10994" max="10994" width="45" style="95" customWidth="1"/>
    <col min="10995" max="10995" width="11.28515625" style="95" customWidth="1"/>
    <col min="10996" max="10996" width="12.42578125" style="95" customWidth="1"/>
    <col min="10997" max="11239" width="9.140625" style="95"/>
    <col min="11240" max="11240" width="62.28515625" style="95" customWidth="1"/>
    <col min="11241" max="11241" width="15.28515625" style="95" customWidth="1"/>
    <col min="11242" max="11242" width="15.85546875" style="95" customWidth="1"/>
    <col min="11243" max="11243" width="22.5703125" style="95" customWidth="1"/>
    <col min="11244" max="11244" width="15.5703125" style="95" customWidth="1"/>
    <col min="11245" max="11247" width="9.140625" style="95"/>
    <col min="11248" max="11248" width="27" style="95" customWidth="1"/>
    <col min="11249" max="11249" width="46.140625" style="95" customWidth="1"/>
    <col min="11250" max="11250" width="45" style="95" customWidth="1"/>
    <col min="11251" max="11251" width="11.28515625" style="95" customWidth="1"/>
    <col min="11252" max="11252" width="12.42578125" style="95" customWidth="1"/>
    <col min="11253" max="11495" width="9.140625" style="95"/>
    <col min="11496" max="11496" width="62.28515625" style="95" customWidth="1"/>
    <col min="11497" max="11497" width="15.28515625" style="95" customWidth="1"/>
    <col min="11498" max="11498" width="15.85546875" style="95" customWidth="1"/>
    <col min="11499" max="11499" width="22.5703125" style="95" customWidth="1"/>
    <col min="11500" max="11500" width="15.5703125" style="95" customWidth="1"/>
    <col min="11501" max="11503" width="9.140625" style="95"/>
    <col min="11504" max="11504" width="27" style="95" customWidth="1"/>
    <col min="11505" max="11505" width="46.140625" style="95" customWidth="1"/>
    <col min="11506" max="11506" width="45" style="95" customWidth="1"/>
    <col min="11507" max="11507" width="11.28515625" style="95" customWidth="1"/>
    <col min="11508" max="11508" width="12.42578125" style="95" customWidth="1"/>
    <col min="11509" max="11751" width="9.140625" style="95"/>
    <col min="11752" max="11752" width="62.28515625" style="95" customWidth="1"/>
    <col min="11753" max="11753" width="15.28515625" style="95" customWidth="1"/>
    <col min="11754" max="11754" width="15.85546875" style="95" customWidth="1"/>
    <col min="11755" max="11755" width="22.5703125" style="95" customWidth="1"/>
    <col min="11756" max="11756" width="15.5703125" style="95" customWidth="1"/>
    <col min="11757" max="11759" width="9.140625" style="95"/>
    <col min="11760" max="11760" width="27" style="95" customWidth="1"/>
    <col min="11761" max="11761" width="46.140625" style="95" customWidth="1"/>
    <col min="11762" max="11762" width="45" style="95" customWidth="1"/>
    <col min="11763" max="11763" width="11.28515625" style="95" customWidth="1"/>
    <col min="11764" max="11764" width="12.42578125" style="95" customWidth="1"/>
    <col min="11765" max="12007" width="9.140625" style="95"/>
    <col min="12008" max="12008" width="62.28515625" style="95" customWidth="1"/>
    <col min="12009" max="12009" width="15.28515625" style="95" customWidth="1"/>
    <col min="12010" max="12010" width="15.85546875" style="95" customWidth="1"/>
    <col min="12011" max="12011" width="22.5703125" style="95" customWidth="1"/>
    <col min="12012" max="12012" width="15.5703125" style="95" customWidth="1"/>
    <col min="12013" max="12015" width="9.140625" style="95"/>
    <col min="12016" max="12016" width="27" style="95" customWidth="1"/>
    <col min="12017" max="12017" width="46.140625" style="95" customWidth="1"/>
    <col min="12018" max="12018" width="45" style="95" customWidth="1"/>
    <col min="12019" max="12019" width="11.28515625" style="95" customWidth="1"/>
    <col min="12020" max="12020" width="12.42578125" style="95" customWidth="1"/>
    <col min="12021" max="12263" width="9.140625" style="95"/>
    <col min="12264" max="12264" width="62.28515625" style="95" customWidth="1"/>
    <col min="12265" max="12265" width="15.28515625" style="95" customWidth="1"/>
    <col min="12266" max="12266" width="15.85546875" style="95" customWidth="1"/>
    <col min="12267" max="12267" width="22.5703125" style="95" customWidth="1"/>
    <col min="12268" max="12268" width="15.5703125" style="95" customWidth="1"/>
    <col min="12269" max="12271" width="9.140625" style="95"/>
    <col min="12272" max="12272" width="27" style="95" customWidth="1"/>
    <col min="12273" max="12273" width="46.140625" style="95" customWidth="1"/>
    <col min="12274" max="12274" width="45" style="95" customWidth="1"/>
    <col min="12275" max="12275" width="11.28515625" style="95" customWidth="1"/>
    <col min="12276" max="12276" width="12.42578125" style="95" customWidth="1"/>
    <col min="12277" max="12519" width="9.140625" style="95"/>
    <col min="12520" max="12520" width="62.28515625" style="95" customWidth="1"/>
    <col min="12521" max="12521" width="15.28515625" style="95" customWidth="1"/>
    <col min="12522" max="12522" width="15.85546875" style="95" customWidth="1"/>
    <col min="12523" max="12523" width="22.5703125" style="95" customWidth="1"/>
    <col min="12524" max="12524" width="15.5703125" style="95" customWidth="1"/>
    <col min="12525" max="12527" width="9.140625" style="95"/>
    <col min="12528" max="12528" width="27" style="95" customWidth="1"/>
    <col min="12529" max="12529" width="46.140625" style="95" customWidth="1"/>
    <col min="12530" max="12530" width="45" style="95" customWidth="1"/>
    <col min="12531" max="12531" width="11.28515625" style="95" customWidth="1"/>
    <col min="12532" max="12532" width="12.42578125" style="95" customWidth="1"/>
    <col min="12533" max="12775" width="9.140625" style="95"/>
    <col min="12776" max="12776" width="62.28515625" style="95" customWidth="1"/>
    <col min="12777" max="12777" width="15.28515625" style="95" customWidth="1"/>
    <col min="12778" max="12778" width="15.85546875" style="95" customWidth="1"/>
    <col min="12779" max="12779" width="22.5703125" style="95" customWidth="1"/>
    <col min="12780" max="12780" width="15.5703125" style="95" customWidth="1"/>
    <col min="12781" max="12783" width="9.140625" style="95"/>
    <col min="12784" max="12784" width="27" style="95" customWidth="1"/>
    <col min="12785" max="12785" width="46.140625" style="95" customWidth="1"/>
    <col min="12786" max="12786" width="45" style="95" customWidth="1"/>
    <col min="12787" max="12787" width="11.28515625" style="95" customWidth="1"/>
    <col min="12788" max="12788" width="12.42578125" style="95" customWidth="1"/>
    <col min="12789" max="13031" width="9.140625" style="95"/>
    <col min="13032" max="13032" width="62.28515625" style="95" customWidth="1"/>
    <col min="13033" max="13033" width="15.28515625" style="95" customWidth="1"/>
    <col min="13034" max="13034" width="15.85546875" style="95" customWidth="1"/>
    <col min="13035" max="13035" width="22.5703125" style="95" customWidth="1"/>
    <col min="13036" max="13036" width="15.5703125" style="95" customWidth="1"/>
    <col min="13037" max="13039" width="9.140625" style="95"/>
    <col min="13040" max="13040" width="27" style="95" customWidth="1"/>
    <col min="13041" max="13041" width="46.140625" style="95" customWidth="1"/>
    <col min="13042" max="13042" width="45" style="95" customWidth="1"/>
    <col min="13043" max="13043" width="11.28515625" style="95" customWidth="1"/>
    <col min="13044" max="13044" width="12.42578125" style="95" customWidth="1"/>
    <col min="13045" max="13287" width="9.140625" style="95"/>
    <col min="13288" max="13288" width="62.28515625" style="95" customWidth="1"/>
    <col min="13289" max="13289" width="15.28515625" style="95" customWidth="1"/>
    <col min="13290" max="13290" width="15.85546875" style="95" customWidth="1"/>
    <col min="13291" max="13291" width="22.5703125" style="95" customWidth="1"/>
    <col min="13292" max="13292" width="15.5703125" style="95" customWidth="1"/>
    <col min="13293" max="13295" width="9.140625" style="95"/>
    <col min="13296" max="13296" width="27" style="95" customWidth="1"/>
    <col min="13297" max="13297" width="46.140625" style="95" customWidth="1"/>
    <col min="13298" max="13298" width="45" style="95" customWidth="1"/>
    <col min="13299" max="13299" width="11.28515625" style="95" customWidth="1"/>
    <col min="13300" max="13300" width="12.42578125" style="95" customWidth="1"/>
    <col min="13301" max="13543" width="9.140625" style="95"/>
    <col min="13544" max="13544" width="62.28515625" style="95" customWidth="1"/>
    <col min="13545" max="13545" width="15.28515625" style="95" customWidth="1"/>
    <col min="13546" max="13546" width="15.85546875" style="95" customWidth="1"/>
    <col min="13547" max="13547" width="22.5703125" style="95" customWidth="1"/>
    <col min="13548" max="13548" width="15.5703125" style="95" customWidth="1"/>
    <col min="13549" max="13551" width="9.140625" style="95"/>
    <col min="13552" max="13552" width="27" style="95" customWidth="1"/>
    <col min="13553" max="13553" width="46.140625" style="95" customWidth="1"/>
    <col min="13554" max="13554" width="45" style="95" customWidth="1"/>
    <col min="13555" max="13555" width="11.28515625" style="95" customWidth="1"/>
    <col min="13556" max="13556" width="12.42578125" style="95" customWidth="1"/>
    <col min="13557" max="13799" width="9.140625" style="95"/>
    <col min="13800" max="13800" width="62.28515625" style="95" customWidth="1"/>
    <col min="13801" max="13801" width="15.28515625" style="95" customWidth="1"/>
    <col min="13802" max="13802" width="15.85546875" style="95" customWidth="1"/>
    <col min="13803" max="13803" width="22.5703125" style="95" customWidth="1"/>
    <col min="13804" max="13804" width="15.5703125" style="95" customWidth="1"/>
    <col min="13805" max="13807" width="9.140625" style="95"/>
    <col min="13808" max="13808" width="27" style="95" customWidth="1"/>
    <col min="13809" max="13809" width="46.140625" style="95" customWidth="1"/>
    <col min="13810" max="13810" width="45" style="95" customWidth="1"/>
    <col min="13811" max="13811" width="11.28515625" style="95" customWidth="1"/>
    <col min="13812" max="13812" width="12.42578125" style="95" customWidth="1"/>
    <col min="13813" max="14055" width="9.140625" style="95"/>
    <col min="14056" max="14056" width="62.28515625" style="95" customWidth="1"/>
    <col min="14057" max="14057" width="15.28515625" style="95" customWidth="1"/>
    <col min="14058" max="14058" width="15.85546875" style="95" customWidth="1"/>
    <col min="14059" max="14059" width="22.5703125" style="95" customWidth="1"/>
    <col min="14060" max="14060" width="15.5703125" style="95" customWidth="1"/>
    <col min="14061" max="14063" width="9.140625" style="95"/>
    <col min="14064" max="14064" width="27" style="95" customWidth="1"/>
    <col min="14065" max="14065" width="46.140625" style="95" customWidth="1"/>
    <col min="14066" max="14066" width="45" style="95" customWidth="1"/>
    <col min="14067" max="14067" width="11.28515625" style="95" customWidth="1"/>
    <col min="14068" max="14068" width="12.42578125" style="95" customWidth="1"/>
    <col min="14069" max="14311" width="9.140625" style="95"/>
    <col min="14312" max="14312" width="62.28515625" style="95" customWidth="1"/>
    <col min="14313" max="14313" width="15.28515625" style="95" customWidth="1"/>
    <col min="14314" max="14314" width="15.85546875" style="95" customWidth="1"/>
    <col min="14315" max="14315" width="22.5703125" style="95" customWidth="1"/>
    <col min="14316" max="14316" width="15.5703125" style="95" customWidth="1"/>
    <col min="14317" max="14319" width="9.140625" style="95"/>
    <col min="14320" max="14320" width="27" style="95" customWidth="1"/>
    <col min="14321" max="14321" width="46.140625" style="95" customWidth="1"/>
    <col min="14322" max="14322" width="45" style="95" customWidth="1"/>
    <col min="14323" max="14323" width="11.28515625" style="95" customWidth="1"/>
    <col min="14324" max="14324" width="12.42578125" style="95" customWidth="1"/>
    <col min="14325" max="14567" width="9.140625" style="95"/>
    <col min="14568" max="14568" width="62.28515625" style="95" customWidth="1"/>
    <col min="14569" max="14569" width="15.28515625" style="95" customWidth="1"/>
    <col min="14570" max="14570" width="15.85546875" style="95" customWidth="1"/>
    <col min="14571" max="14571" width="22.5703125" style="95" customWidth="1"/>
    <col min="14572" max="14572" width="15.5703125" style="95" customWidth="1"/>
    <col min="14573" max="14575" width="9.140625" style="95"/>
    <col min="14576" max="14576" width="27" style="95" customWidth="1"/>
    <col min="14577" max="14577" width="46.140625" style="95" customWidth="1"/>
    <col min="14578" max="14578" width="45" style="95" customWidth="1"/>
    <col min="14579" max="14579" width="11.28515625" style="95" customWidth="1"/>
    <col min="14580" max="14580" width="12.42578125" style="95" customWidth="1"/>
    <col min="14581" max="14823" width="9.140625" style="95"/>
    <col min="14824" max="14824" width="62.28515625" style="95" customWidth="1"/>
    <col min="14825" max="14825" width="15.28515625" style="95" customWidth="1"/>
    <col min="14826" max="14826" width="15.85546875" style="95" customWidth="1"/>
    <col min="14827" max="14827" width="22.5703125" style="95" customWidth="1"/>
    <col min="14828" max="14828" width="15.5703125" style="95" customWidth="1"/>
    <col min="14829" max="14831" width="9.140625" style="95"/>
    <col min="14832" max="14832" width="27" style="95" customWidth="1"/>
    <col min="14833" max="14833" width="46.140625" style="95" customWidth="1"/>
    <col min="14834" max="14834" width="45" style="95" customWidth="1"/>
    <col min="14835" max="14835" width="11.28515625" style="95" customWidth="1"/>
    <col min="14836" max="14836" width="12.42578125" style="95" customWidth="1"/>
    <col min="14837" max="15079" width="9.140625" style="95"/>
    <col min="15080" max="15080" width="62.28515625" style="95" customWidth="1"/>
    <col min="15081" max="15081" width="15.28515625" style="95" customWidth="1"/>
    <col min="15082" max="15082" width="15.85546875" style="95" customWidth="1"/>
    <col min="15083" max="15083" width="22.5703125" style="95" customWidth="1"/>
    <col min="15084" max="15084" width="15.5703125" style="95" customWidth="1"/>
    <col min="15085" max="15087" width="9.140625" style="95"/>
    <col min="15088" max="15088" width="27" style="95" customWidth="1"/>
    <col min="15089" max="15089" width="46.140625" style="95" customWidth="1"/>
    <col min="15090" max="15090" width="45" style="95" customWidth="1"/>
    <col min="15091" max="15091" width="11.28515625" style="95" customWidth="1"/>
    <col min="15092" max="15092" width="12.42578125" style="95" customWidth="1"/>
    <col min="15093" max="15335" width="9.140625" style="95"/>
    <col min="15336" max="15336" width="62.28515625" style="95" customWidth="1"/>
    <col min="15337" max="15337" width="15.28515625" style="95" customWidth="1"/>
    <col min="15338" max="15338" width="15.85546875" style="95" customWidth="1"/>
    <col min="15339" max="15339" width="22.5703125" style="95" customWidth="1"/>
    <col min="15340" max="15340" width="15.5703125" style="95" customWidth="1"/>
    <col min="15341" max="15343" width="9.140625" style="95"/>
    <col min="15344" max="15344" width="27" style="95" customWidth="1"/>
    <col min="15345" max="15345" width="46.140625" style="95" customWidth="1"/>
    <col min="15346" max="15346" width="45" style="95" customWidth="1"/>
    <col min="15347" max="15347" width="11.28515625" style="95" customWidth="1"/>
    <col min="15348" max="15348" width="12.42578125" style="95" customWidth="1"/>
    <col min="15349" max="15591" width="9.140625" style="95"/>
    <col min="15592" max="15592" width="62.28515625" style="95" customWidth="1"/>
    <col min="15593" max="15593" width="15.28515625" style="95" customWidth="1"/>
    <col min="15594" max="15594" width="15.85546875" style="95" customWidth="1"/>
    <col min="15595" max="15595" width="22.5703125" style="95" customWidth="1"/>
    <col min="15596" max="15596" width="15.5703125" style="95" customWidth="1"/>
    <col min="15597" max="15599" width="9.140625" style="95"/>
    <col min="15600" max="15600" width="27" style="95" customWidth="1"/>
    <col min="15601" max="15601" width="46.140625" style="95" customWidth="1"/>
    <col min="15602" max="15602" width="45" style="95" customWidth="1"/>
    <col min="15603" max="15603" width="11.28515625" style="95" customWidth="1"/>
    <col min="15604" max="15604" width="12.42578125" style="95" customWidth="1"/>
    <col min="15605" max="15847" width="9.140625" style="95"/>
    <col min="15848" max="15848" width="62.28515625" style="95" customWidth="1"/>
    <col min="15849" max="15849" width="15.28515625" style="95" customWidth="1"/>
    <col min="15850" max="15850" width="15.85546875" style="95" customWidth="1"/>
    <col min="15851" max="15851" width="22.5703125" style="95" customWidth="1"/>
    <col min="15852" max="15852" width="15.5703125" style="95" customWidth="1"/>
    <col min="15853" max="15855" width="9.140625" style="95"/>
    <col min="15856" max="15856" width="27" style="95" customWidth="1"/>
    <col min="15857" max="15857" width="46.140625" style="95" customWidth="1"/>
    <col min="15858" max="15858" width="45" style="95" customWidth="1"/>
    <col min="15859" max="15859" width="11.28515625" style="95" customWidth="1"/>
    <col min="15860" max="15860" width="12.42578125" style="95" customWidth="1"/>
    <col min="15861" max="16103" width="9.140625" style="95"/>
    <col min="16104" max="16104" width="62.28515625" style="95" customWidth="1"/>
    <col min="16105" max="16105" width="15.28515625" style="95" customWidth="1"/>
    <col min="16106" max="16106" width="15.85546875" style="95" customWidth="1"/>
    <col min="16107" max="16107" width="22.5703125" style="95" customWidth="1"/>
    <col min="16108" max="16108" width="15.5703125" style="95" customWidth="1"/>
    <col min="16109" max="16111" width="9.140625" style="95"/>
    <col min="16112" max="16112" width="27" style="95" customWidth="1"/>
    <col min="16113" max="16113" width="46.140625" style="95" customWidth="1"/>
    <col min="16114" max="16114" width="45" style="95" customWidth="1"/>
    <col min="16115" max="16115" width="11.28515625" style="95" customWidth="1"/>
    <col min="16116" max="16116" width="12.42578125" style="95" customWidth="1"/>
    <col min="16117" max="16384" width="9.140625" style="95"/>
  </cols>
  <sheetData>
    <row r="1" spans="1:17" ht="59.25" customHeight="1">
      <c r="A1" s="91" t="s">
        <v>0</v>
      </c>
      <c r="B1" s="73" t="s">
        <v>1</v>
      </c>
      <c r="C1" s="73" t="s">
        <v>106</v>
      </c>
      <c r="D1" s="92"/>
      <c r="E1" s="93"/>
      <c r="F1" s="164" t="s">
        <v>97</v>
      </c>
      <c r="G1" s="174" t="s">
        <v>42</v>
      </c>
      <c r="H1" s="116" t="s">
        <v>65</v>
      </c>
      <c r="I1" s="173" t="s">
        <v>87</v>
      </c>
      <c r="J1" s="127" t="s">
        <v>99</v>
      </c>
      <c r="K1" s="94"/>
      <c r="L1" s="152" t="s">
        <v>32</v>
      </c>
      <c r="M1" s="176" t="s">
        <v>101</v>
      </c>
      <c r="N1" s="153" t="s">
        <v>33</v>
      </c>
      <c r="O1" s="172" t="s">
        <v>98</v>
      </c>
      <c r="P1" s="132" t="s">
        <v>88</v>
      </c>
    </row>
    <row r="2" spans="1:17">
      <c r="A2" s="96" t="s">
        <v>2</v>
      </c>
      <c r="B2" s="187">
        <f>MEDIAN(input!G4,input!G8)</f>
        <v>2.9299999999999997</v>
      </c>
      <c r="C2" s="57"/>
      <c r="D2" s="45"/>
      <c r="E2" s="7"/>
      <c r="F2" s="7" t="s">
        <v>96</v>
      </c>
      <c r="G2" s="117"/>
      <c r="H2" s="76"/>
      <c r="I2" s="7"/>
      <c r="J2" s="7"/>
      <c r="K2" s="38">
        <v>1</v>
      </c>
      <c r="L2" s="151"/>
      <c r="M2" s="151"/>
      <c r="N2" s="154"/>
      <c r="O2" s="87">
        <f>IF(G2="",0,IF(AND(G2="Lower",B2+C2&lt;H2),1,IF(AND(G2="Greater",B2+C2&gt;=H2),1,0)))</f>
        <v>0</v>
      </c>
      <c r="P2" s="133"/>
      <c r="Q2" s="97" t="s">
        <v>37</v>
      </c>
    </row>
    <row r="3" spans="1:17">
      <c r="A3" s="96" t="s">
        <v>3</v>
      </c>
      <c r="B3" s="187">
        <f>MEDIAN(input!G12)</f>
        <v>4.1500000000000004</v>
      </c>
      <c r="C3" s="57"/>
      <c r="D3" s="38"/>
      <c r="E3" s="10"/>
      <c r="F3" s="7" t="s">
        <v>96</v>
      </c>
      <c r="G3" s="117"/>
      <c r="H3" s="77"/>
      <c r="I3" s="10"/>
      <c r="J3" s="10"/>
      <c r="K3" s="38">
        <v>1</v>
      </c>
      <c r="L3" s="151"/>
      <c r="M3" s="151"/>
      <c r="N3" s="154"/>
      <c r="O3" s="87">
        <f t="shared" ref="O3:O21" si="0">IF(G3="",0,IF(AND(G3="Lower",B3+C3&lt;H3),1,IF(AND(G3="Greater",B3+C3&gt;=H3),1,0)))</f>
        <v>0</v>
      </c>
      <c r="P3" s="134"/>
      <c r="Q3" s="97" t="s">
        <v>37</v>
      </c>
    </row>
    <row r="4" spans="1:17" ht="38.25">
      <c r="A4" s="96" t="s">
        <v>109</v>
      </c>
      <c r="B4" s="22"/>
      <c r="C4" s="178">
        <f>(B3-B2)/MIN(B2,B3)</f>
        <v>0.41638225255972722</v>
      </c>
      <c r="D4" s="39"/>
      <c r="E4" s="10"/>
      <c r="F4" s="7" t="s">
        <v>96</v>
      </c>
      <c r="G4" s="117" t="s">
        <v>34</v>
      </c>
      <c r="H4" s="78">
        <v>0.3</v>
      </c>
      <c r="I4" s="37">
        <v>0.3</v>
      </c>
      <c r="J4" s="37">
        <v>0.3</v>
      </c>
      <c r="K4" s="38">
        <v>1</v>
      </c>
      <c r="L4" s="151" t="s">
        <v>66</v>
      </c>
      <c r="M4" s="151" t="s">
        <v>66</v>
      </c>
      <c r="N4" s="151" t="s">
        <v>66</v>
      </c>
      <c r="O4" s="87">
        <f t="shared" si="0"/>
        <v>0</v>
      </c>
      <c r="P4" s="134" t="str">
        <f>"To improve visual processing (memory) problem; poor retention of information and/or poor short term memory, increase the difference between  Eyes Open to Eyes Closed Alpha at CZ from " &amp; TEXT(C4,"00.00%") &amp; "  to more than 30%.  See O1 Alpha Eyes Open to Eyes Closed."</f>
        <v>To improve visual processing (memory) problem; poor retention of information and/or poor short term memory, increase the difference between  Eyes Open to Eyes Closed Alpha at CZ from 41.64%  to more than 30%.  See O1 Alpha Eyes Open to Eyes Closed.</v>
      </c>
      <c r="Q4" s="97" t="s">
        <v>37</v>
      </c>
    </row>
    <row r="5" spans="1:17">
      <c r="A5" s="96" t="s">
        <v>4</v>
      </c>
      <c r="B5" s="187">
        <f>MEDIAN(input!G16)</f>
        <v>2.87</v>
      </c>
      <c r="C5" s="57"/>
      <c r="D5" s="38"/>
      <c r="E5" s="10"/>
      <c r="F5" s="7" t="s">
        <v>96</v>
      </c>
      <c r="G5" s="117"/>
      <c r="H5" s="77"/>
      <c r="I5" s="10"/>
      <c r="J5" s="10"/>
      <c r="K5" s="38">
        <v>1</v>
      </c>
      <c r="L5" s="151"/>
      <c r="M5" s="151"/>
      <c r="N5" s="155" t="s">
        <v>37</v>
      </c>
      <c r="O5" s="87">
        <f t="shared" si="0"/>
        <v>0</v>
      </c>
      <c r="P5" s="134"/>
      <c r="Q5" s="97" t="s">
        <v>37</v>
      </c>
    </row>
    <row r="6" spans="1:17" ht="25.5">
      <c r="A6" s="194" t="s">
        <v>120</v>
      </c>
      <c r="B6" s="22"/>
      <c r="C6" s="178">
        <f>(B5-B2)/MIN(B2,B5)</f>
        <v>-2.0905923344947598E-2</v>
      </c>
      <c r="D6" s="39"/>
      <c r="E6" s="10"/>
      <c r="F6" s="7" t="s">
        <v>96</v>
      </c>
      <c r="G6" s="117" t="s">
        <v>35</v>
      </c>
      <c r="H6" s="78">
        <v>0.25</v>
      </c>
      <c r="I6" s="37">
        <v>0.25</v>
      </c>
      <c r="J6" s="37">
        <v>0.25</v>
      </c>
      <c r="K6" s="38">
        <v>1</v>
      </c>
      <c r="L6" s="154" t="s">
        <v>67</v>
      </c>
      <c r="M6" s="154" t="s">
        <v>67</v>
      </c>
      <c r="N6" s="154" t="s">
        <v>67</v>
      </c>
      <c r="O6" s="87">
        <f t="shared" si="0"/>
        <v>0</v>
      </c>
      <c r="P6" s="134" t="str">
        <f>"Clarify foggy thinking by increasing the percent difference of Eyes Open Alpha from initial Eyes Open after Eyes Closed at CZ from " &amp; TEXT(C6,"00.00%") &amp; " to under 25%."</f>
        <v>Clarify foggy thinking by increasing the percent difference of Eyes Open Alpha from initial Eyes Open after Eyes Closed at CZ from -02.09% to under 25%.</v>
      </c>
      <c r="Q6" s="97" t="s">
        <v>37</v>
      </c>
    </row>
    <row r="7" spans="1:17">
      <c r="A7" s="96" t="s">
        <v>5</v>
      </c>
      <c r="B7" s="187">
        <f>MEDIAN(input!F4,input!F8)</f>
        <v>4.66</v>
      </c>
      <c r="C7" s="57"/>
      <c r="D7" s="38"/>
      <c r="E7" s="34"/>
      <c r="F7" s="7" t="s">
        <v>96</v>
      </c>
      <c r="G7" s="117"/>
      <c r="H7" s="77"/>
      <c r="I7" s="10"/>
      <c r="J7" s="10"/>
      <c r="K7" s="38">
        <v>1</v>
      </c>
      <c r="L7" s="151"/>
      <c r="M7" s="151"/>
      <c r="N7" s="154"/>
      <c r="O7" s="87">
        <f t="shared" si="0"/>
        <v>0</v>
      </c>
      <c r="P7" s="134"/>
      <c r="Q7" s="97" t="s">
        <v>37</v>
      </c>
    </row>
    <row r="8" spans="1:17">
      <c r="A8" s="96" t="s">
        <v>6</v>
      </c>
      <c r="B8" s="187">
        <f>MEDIAN(input!K4,input!K8)</f>
        <v>3.6749999999999998</v>
      </c>
      <c r="C8" s="57"/>
      <c r="D8" s="38"/>
      <c r="E8" s="34"/>
      <c r="F8" s="7" t="s">
        <v>96</v>
      </c>
      <c r="G8" s="117"/>
      <c r="H8" s="77"/>
      <c r="I8" s="10"/>
      <c r="J8" s="10"/>
      <c r="K8" s="38">
        <v>1</v>
      </c>
      <c r="L8" s="156"/>
      <c r="M8" s="156"/>
      <c r="N8" s="154"/>
      <c r="O8" s="87">
        <f t="shared" si="0"/>
        <v>0</v>
      </c>
      <c r="P8" s="134"/>
      <c r="Q8" s="97" t="s">
        <v>37</v>
      </c>
    </row>
    <row r="9" spans="1:17">
      <c r="A9" s="96" t="s">
        <v>7</v>
      </c>
      <c r="B9" s="4">
        <f>IF(ISERROR(B7/B8),"N/A",B7/B8)</f>
        <v>1.2680272108843538</v>
      </c>
      <c r="C9" s="57"/>
      <c r="D9" s="38"/>
      <c r="E9" s="61"/>
      <c r="F9" s="7" t="s">
        <v>96</v>
      </c>
      <c r="G9" s="117" t="s">
        <v>35</v>
      </c>
      <c r="H9" s="77">
        <v>2.2000000000000002</v>
      </c>
      <c r="I9" s="10">
        <v>2.2000000000000002</v>
      </c>
      <c r="J9" s="10">
        <v>2.2000000000000002</v>
      </c>
      <c r="K9" s="38">
        <v>1</v>
      </c>
      <c r="L9" s="154" t="s">
        <v>68</v>
      </c>
      <c r="M9" s="154" t="s">
        <v>68</v>
      </c>
      <c r="N9" s="154" t="s">
        <v>68</v>
      </c>
      <c r="O9" s="87">
        <f t="shared" si="0"/>
        <v>0</v>
      </c>
      <c r="P9" s="134" t="str">
        <f>"To reduce inattention, decrease Eyes Open Theta/Beta at CZ from " &amp;  TEXT(B9,"00.00") &amp; " to &gt; 2.2 ."</f>
        <v>To reduce inattention, decrease Eyes Open Theta/Beta at CZ from 01.27 to &gt; 2.2 .</v>
      </c>
      <c r="Q9" s="97" t="s">
        <v>37</v>
      </c>
    </row>
    <row r="10" spans="1:17">
      <c r="A10" s="96" t="s">
        <v>110</v>
      </c>
      <c r="B10" s="187">
        <f>MEDIAN(input!F20,input!F24,input!F28)</f>
        <v>5.67</v>
      </c>
      <c r="C10" s="57"/>
      <c r="D10" s="38"/>
      <c r="E10" s="34"/>
      <c r="F10" s="7" t="s">
        <v>96</v>
      </c>
      <c r="G10" s="117"/>
      <c r="H10" s="77"/>
      <c r="I10" s="10"/>
      <c r="J10" s="10"/>
      <c r="K10" s="38">
        <v>1</v>
      </c>
      <c r="L10" s="151"/>
      <c r="M10" s="151"/>
      <c r="N10" s="154"/>
      <c r="O10" s="87">
        <f t="shared" si="0"/>
        <v>0</v>
      </c>
      <c r="P10" s="134"/>
      <c r="Q10" s="97" t="s">
        <v>37</v>
      </c>
    </row>
    <row r="11" spans="1:17">
      <c r="A11" s="96" t="s">
        <v>8</v>
      </c>
      <c r="B11" s="187">
        <f>MEDIAN(input!K20,input!K24,input!K28)</f>
        <v>3.13</v>
      </c>
      <c r="C11" s="57"/>
      <c r="D11" s="38"/>
      <c r="E11" s="34"/>
      <c r="F11" s="7" t="s">
        <v>96</v>
      </c>
      <c r="G11" s="117"/>
      <c r="H11" s="77"/>
      <c r="I11" s="10"/>
      <c r="J11" s="10"/>
      <c r="K11" s="38">
        <v>1</v>
      </c>
      <c r="L11" s="151"/>
      <c r="M11" s="151"/>
      <c r="N11" s="154"/>
      <c r="O11" s="87">
        <f t="shared" si="0"/>
        <v>0</v>
      </c>
      <c r="P11" s="134"/>
      <c r="Q11" s="97" t="s">
        <v>37</v>
      </c>
    </row>
    <row r="12" spans="1:17" ht="38.25">
      <c r="A12" s="96" t="s">
        <v>118</v>
      </c>
      <c r="B12" s="4">
        <f>IF(ISERROR(B10/B11),"N/A",B10/B11)</f>
        <v>1.8115015974440896</v>
      </c>
      <c r="C12" s="57"/>
      <c r="D12" s="38"/>
      <c r="E12" s="62"/>
      <c r="F12" s="7" t="s">
        <v>96</v>
      </c>
      <c r="G12" s="117" t="s">
        <v>35</v>
      </c>
      <c r="H12" s="77">
        <v>2.2000000000000002</v>
      </c>
      <c r="I12" s="10">
        <v>2.2000000000000002</v>
      </c>
      <c r="J12" s="10">
        <v>2.2000000000000002</v>
      </c>
      <c r="K12" s="38">
        <v>1</v>
      </c>
      <c r="L12" s="154" t="s">
        <v>82</v>
      </c>
      <c r="M12" s="154" t="s">
        <v>82</v>
      </c>
      <c r="N12" s="154" t="s">
        <v>82</v>
      </c>
      <c r="O12" s="87">
        <f t="shared" si="0"/>
        <v>0</v>
      </c>
      <c r="P12" s="134" t="str">
        <f>"Train Eyes Open Theta/Beta at CZ under task from  " &amp; TEXT(B12,"00.00") &amp; " to under 2.2 to improve poor reading comprehension/retention.  Train down Eyes Open Theta/Beta from " &amp; TEXT(B12,"00.00") &amp; " to under 3 to improve AD(H)D  issues.  May need braindriving."</f>
        <v>Train Eyes Open Theta/Beta at CZ under task from  01.81 to under 2.2 to improve poor reading comprehension/retention.  Train down Eyes Open Theta/Beta from 01.81 to under 3 to improve AD(H)D  issues.  May need braindriving.</v>
      </c>
      <c r="Q12" s="97" t="s">
        <v>37</v>
      </c>
    </row>
    <row r="13" spans="1:17" ht="25.5">
      <c r="A13" s="98" t="s">
        <v>152</v>
      </c>
      <c r="B13" s="57"/>
      <c r="C13" s="178">
        <f>(B12-B9)/MIN(B9,B12)</f>
        <v>0.42859836279120794</v>
      </c>
      <c r="D13" s="39"/>
      <c r="E13" s="9"/>
      <c r="F13" s="7" t="s">
        <v>96</v>
      </c>
      <c r="G13" s="117" t="s">
        <v>35</v>
      </c>
      <c r="H13" s="78">
        <v>0.15</v>
      </c>
      <c r="I13" s="9">
        <v>0.15</v>
      </c>
      <c r="J13" s="9">
        <v>0.15</v>
      </c>
      <c r="K13" s="38">
        <v>1</v>
      </c>
      <c r="L13" s="154" t="s">
        <v>69</v>
      </c>
      <c r="M13" s="154" t="s">
        <v>69</v>
      </c>
      <c r="N13" s="154" t="s">
        <v>69</v>
      </c>
      <c r="O13" s="87">
        <f t="shared" si="0"/>
        <v>1</v>
      </c>
      <c r="P13" s="134" t="str">
        <f>"Train up the percentage change in Theta/Beta ratio Eyes Open at CZ from "  &amp; TEXT(C13,"00.00") &amp; " to within 15% to improve attention-related issues. May need braindriving."</f>
        <v>Train up the percentage change in Theta/Beta ratio Eyes Open at CZ from 00.43 to within 15% to improve attention-related issues. May need braindriving.</v>
      </c>
      <c r="Q13" s="97" t="s">
        <v>37</v>
      </c>
    </row>
    <row r="14" spans="1:17" ht="25.5">
      <c r="A14" s="96" t="s">
        <v>119</v>
      </c>
      <c r="B14" s="22"/>
      <c r="C14" s="178">
        <f>(B11-B8)/MIN(B11,B8)</f>
        <v>-0.17412140575079871</v>
      </c>
      <c r="D14" s="39"/>
      <c r="E14" s="32"/>
      <c r="F14" s="7" t="s">
        <v>96</v>
      </c>
      <c r="G14" s="117" t="s">
        <v>35</v>
      </c>
      <c r="H14" s="78">
        <v>0.15</v>
      </c>
      <c r="I14" s="9">
        <v>0.15</v>
      </c>
      <c r="J14" s="9">
        <v>0.15</v>
      </c>
      <c r="K14" s="38">
        <v>1</v>
      </c>
      <c r="L14" s="154" t="s">
        <v>70</v>
      </c>
      <c r="M14" s="154" t="s">
        <v>70</v>
      </c>
      <c r="N14" s="154" t="s">
        <v>70</v>
      </c>
      <c r="O14" s="87">
        <f t="shared" si="0"/>
        <v>0</v>
      </c>
      <c r="P14" s="134" t="str">
        <f>"Train down the Theta/Beta ratio at CZ from " &amp; TEXT(C14,"00.00") &amp;" to below 2.2 to help resolve getting overly tired when reading or problem solving."</f>
        <v>Train down the Theta/Beta ratio at CZ from -00.17 to below 2.2 to help resolve getting overly tired when reading or problem solving.</v>
      </c>
      <c r="Q14" s="97" t="s">
        <v>37</v>
      </c>
    </row>
    <row r="15" spans="1:17" ht="25.5">
      <c r="A15" s="96" t="s">
        <v>103</v>
      </c>
      <c r="B15" s="179">
        <f>MEDIAN((input!F4+input!G4+input!K4),(input!F8+input!G8+input!K8),(input!F12+input!G12+input!K12),(input!F16+input!G16+input!K16),(input!F20+input!G20+input!K20),(input!F24+input!G24+input!K24),(input!F28+input!G28+input!K28),(input!F32+input!G32+input!K32),(input!F36+input!G36+input!K36),(input!F40+input!G40+input!K40) )</f>
        <v>11.760000000000002</v>
      </c>
      <c r="C15" s="57"/>
      <c r="D15" s="38"/>
      <c r="E15" s="32"/>
      <c r="F15" s="7" t="s">
        <v>96</v>
      </c>
      <c r="G15" s="117" t="s">
        <v>35</v>
      </c>
      <c r="H15" s="77">
        <v>60</v>
      </c>
      <c r="I15" s="33">
        <v>60</v>
      </c>
      <c r="J15" s="33">
        <v>60</v>
      </c>
      <c r="K15" s="38">
        <v>1</v>
      </c>
      <c r="L15" s="154" t="s">
        <v>71</v>
      </c>
      <c r="M15" s="154" t="s">
        <v>71</v>
      </c>
      <c r="N15" s="154" t="s">
        <v>71</v>
      </c>
      <c r="O15" s="87">
        <f t="shared" si="0"/>
        <v>0</v>
      </c>
      <c r="P15" s="134" t="str">
        <f xml:space="preserve"> "Promote development, reduce autistic spectrum behavior, and improve cognitive deficits by lowering total amplitude at CZ from " &amp; TEXT(B15,"00.00") &amp; " to under 60."</f>
        <v>Promote development, reduce autistic spectrum behavior, and improve cognitive deficits by lowering total amplitude at CZ from 11.76 to under 60.</v>
      </c>
      <c r="Q15" s="97" t="s">
        <v>37</v>
      </c>
    </row>
    <row r="16" spans="1:17">
      <c r="A16" s="96" t="s">
        <v>9</v>
      </c>
      <c r="B16" s="187">
        <f>MEDIAN(input!F32)</f>
        <v>5.19</v>
      </c>
      <c r="C16" s="57"/>
      <c r="D16" s="38"/>
      <c r="E16" s="32"/>
      <c r="F16" s="7" t="s">
        <v>96</v>
      </c>
      <c r="G16" s="117"/>
      <c r="H16" s="77"/>
      <c r="I16" s="33"/>
      <c r="J16" s="33"/>
      <c r="K16" s="38">
        <v>1</v>
      </c>
      <c r="L16" s="151"/>
      <c r="M16" s="151"/>
      <c r="N16" s="154"/>
      <c r="O16" s="87">
        <f t="shared" si="0"/>
        <v>0</v>
      </c>
      <c r="P16" s="134"/>
      <c r="Q16" s="97" t="s">
        <v>37</v>
      </c>
    </row>
    <row r="17" spans="1:17">
      <c r="A17" s="96" t="s">
        <v>10</v>
      </c>
      <c r="B17" s="4">
        <f>MEDIAN(input!F36,input!F40)</f>
        <v>4.4849999999999994</v>
      </c>
      <c r="C17" s="57"/>
      <c r="D17" s="38"/>
      <c r="E17" s="32"/>
      <c r="F17" s="7" t="s">
        <v>96</v>
      </c>
      <c r="G17" s="117"/>
      <c r="H17" s="77"/>
      <c r="I17" s="33"/>
      <c r="J17" s="33"/>
      <c r="K17" s="38">
        <v>1</v>
      </c>
      <c r="L17" s="151"/>
      <c r="M17" s="151"/>
      <c r="N17" s="154"/>
      <c r="O17" s="87">
        <f t="shared" si="0"/>
        <v>0</v>
      </c>
      <c r="P17" s="134"/>
      <c r="Q17" s="97" t="s">
        <v>37</v>
      </c>
    </row>
    <row r="18" spans="1:17" ht="25.5">
      <c r="A18" s="96" t="s">
        <v>122</v>
      </c>
      <c r="B18" s="142"/>
      <c r="C18" s="180">
        <f>(B17-B16)/(MIN(B16,B17))</f>
        <v>-0.15719063545150525</v>
      </c>
      <c r="D18" s="44"/>
      <c r="E18" s="32"/>
      <c r="F18" s="7" t="s">
        <v>96</v>
      </c>
      <c r="G18" s="117" t="s">
        <v>34</v>
      </c>
      <c r="H18" s="78">
        <v>-0.05</v>
      </c>
      <c r="I18" s="9">
        <v>-0.05</v>
      </c>
      <c r="J18" s="9">
        <v>-0.05</v>
      </c>
      <c r="K18" s="38">
        <v>1</v>
      </c>
      <c r="L18" s="151" t="s">
        <v>89</v>
      </c>
      <c r="M18" s="151" t="s">
        <v>89</v>
      </c>
      <c r="N18" s="154" t="s">
        <v>89</v>
      </c>
      <c r="O18" s="87">
        <f t="shared" si="0"/>
        <v>1</v>
      </c>
      <c r="P18" s="134" t="s">
        <v>148</v>
      </c>
      <c r="Q18" s="97" t="s">
        <v>37</v>
      </c>
    </row>
    <row r="19" spans="1:17">
      <c r="A19" s="100" t="s">
        <v>115</v>
      </c>
      <c r="B19" s="4">
        <f>input!G15</f>
        <v>10.45</v>
      </c>
      <c r="C19" s="59"/>
      <c r="D19" s="40"/>
      <c r="E19" s="32"/>
      <c r="F19" s="7" t="s">
        <v>96</v>
      </c>
      <c r="G19" s="117" t="s">
        <v>34</v>
      </c>
      <c r="H19" s="77">
        <v>9.5</v>
      </c>
      <c r="I19" s="33">
        <v>9.5</v>
      </c>
      <c r="J19" s="33">
        <v>9.5</v>
      </c>
      <c r="K19" s="38">
        <v>1</v>
      </c>
      <c r="L19" s="151" t="s">
        <v>84</v>
      </c>
      <c r="M19" s="151" t="s">
        <v>84</v>
      </c>
      <c r="N19" s="151" t="s">
        <v>84</v>
      </c>
      <c r="O19" s="87">
        <f t="shared" si="0"/>
        <v>0</v>
      </c>
      <c r="P19" s="134" t="str">
        <f>"Train up Peak Alpha Frequency at CZ from " &amp; TEXT(B19,"00.00") &amp; " toward 10 or more to improve mental agility."</f>
        <v>Train up Peak Alpha Frequency at CZ from 10.45 toward 10 or more to improve mental agility.</v>
      </c>
      <c r="Q19" s="97" t="s">
        <v>37</v>
      </c>
    </row>
    <row r="20" spans="1:17">
      <c r="A20" s="100" t="s">
        <v>114</v>
      </c>
      <c r="B20" s="4">
        <f>MEDIAN(input!G7,input!G11,input!G19)</f>
        <v>10.61</v>
      </c>
      <c r="C20" s="60"/>
      <c r="D20" s="46"/>
      <c r="E20" s="32"/>
      <c r="F20" s="7" t="s">
        <v>96</v>
      </c>
      <c r="G20" s="117" t="s">
        <v>34</v>
      </c>
      <c r="H20" s="77">
        <v>9.5</v>
      </c>
      <c r="I20" s="33">
        <v>9.5</v>
      </c>
      <c r="J20" s="33">
        <v>9.5</v>
      </c>
      <c r="K20" s="38">
        <v>1</v>
      </c>
      <c r="L20" s="151" t="s">
        <v>84</v>
      </c>
      <c r="M20" s="151" t="s">
        <v>84</v>
      </c>
      <c r="N20" s="151" t="s">
        <v>84</v>
      </c>
      <c r="O20" s="87">
        <f t="shared" si="0"/>
        <v>0</v>
      </c>
      <c r="P20" s="134" t="str">
        <f>"Train up Peak Alpha Frequency at CZ from " &amp;  TEXT(B20,"00.00")  &amp; " toward 10 or more to improve mental agility. "</f>
        <v xml:space="preserve">Train up Peak Alpha Frequency at CZ from 10.61 toward 10 or more to improve mental agility. </v>
      </c>
      <c r="Q20" s="97" t="s">
        <v>37</v>
      </c>
    </row>
    <row r="21" spans="1:17" ht="64.5" thickBot="1">
      <c r="A21" s="98" t="s">
        <v>104</v>
      </c>
      <c r="B21" s="4">
        <f>input!F12/input!J12</f>
        <v>1.8700361010830324</v>
      </c>
      <c r="C21" s="60"/>
      <c r="D21" s="46"/>
      <c r="E21" s="32"/>
      <c r="F21" s="7" t="s">
        <v>96</v>
      </c>
      <c r="G21" s="118" t="s">
        <v>35</v>
      </c>
      <c r="H21" s="81">
        <v>3</v>
      </c>
      <c r="I21" s="33">
        <v>3</v>
      </c>
      <c r="J21" s="33">
        <v>3</v>
      </c>
      <c r="K21" s="38">
        <v>1</v>
      </c>
      <c r="L21" s="154" t="s">
        <v>81</v>
      </c>
      <c r="M21" s="154" t="s">
        <v>81</v>
      </c>
      <c r="N21" s="154" t="s">
        <v>81</v>
      </c>
      <c r="O21" s="88">
        <f t="shared" si="0"/>
        <v>0</v>
      </c>
      <c r="P21" s="134" t="s">
        <v>83</v>
      </c>
      <c r="Q21" s="97" t="s">
        <v>37</v>
      </c>
    </row>
    <row r="22" spans="1:17" ht="15.75" thickBot="1">
      <c r="A22" s="175" t="s">
        <v>100</v>
      </c>
      <c r="B22" s="4"/>
      <c r="C22" s="5"/>
      <c r="D22" s="46"/>
      <c r="E22" s="32"/>
      <c r="F22" s="32"/>
      <c r="G22" s="101"/>
      <c r="H22" s="101"/>
      <c r="I22" s="33"/>
      <c r="J22" s="33"/>
      <c r="K22" s="38">
        <v>1</v>
      </c>
      <c r="L22" s="157"/>
      <c r="M22" s="157"/>
      <c r="N22" s="157"/>
      <c r="O22" s="66"/>
      <c r="P22" s="135"/>
    </row>
    <row r="23" spans="1:17" s="102" customFormat="1" ht="18">
      <c r="A23" s="91" t="s">
        <v>12</v>
      </c>
      <c r="B23" s="73" t="s">
        <v>1</v>
      </c>
      <c r="C23" s="73" t="s">
        <v>106</v>
      </c>
      <c r="D23" s="41"/>
      <c r="E23" s="33"/>
      <c r="F23" s="33"/>
      <c r="G23" s="119"/>
      <c r="H23" s="79"/>
      <c r="I23" s="33"/>
      <c r="J23" s="33"/>
      <c r="K23" s="38">
        <v>1</v>
      </c>
      <c r="L23" s="156"/>
      <c r="M23" s="156"/>
      <c r="N23" s="156"/>
      <c r="O23" s="84"/>
      <c r="P23" s="131"/>
    </row>
    <row r="24" spans="1:17" s="102" customFormat="1">
      <c r="A24" s="100" t="s">
        <v>13</v>
      </c>
      <c r="B24" s="188">
        <f>MEDIAN(input!G44,input!G48)</f>
        <v>1.79</v>
      </c>
      <c r="C24" s="57"/>
      <c r="D24" s="38"/>
      <c r="E24" s="33"/>
      <c r="F24" s="33" t="s">
        <v>96</v>
      </c>
      <c r="G24" s="117"/>
      <c r="H24" s="77"/>
      <c r="I24" s="33"/>
      <c r="J24" s="33"/>
      <c r="K24" s="38">
        <v>1</v>
      </c>
      <c r="L24" s="156"/>
      <c r="M24" s="156"/>
      <c r="N24" s="156"/>
      <c r="O24" s="85">
        <f t="shared" ref="O24:O37" si="1">IF(G24="",0,IF(AND(G24="Lower",B24+C24&lt;H24),1,IF(AND(G24="Greater",B24+C24&gt;=H24),1,0)))</f>
        <v>0</v>
      </c>
      <c r="P24" s="131"/>
    </row>
    <row r="25" spans="1:17" s="102" customFormat="1">
      <c r="A25" s="100" t="s">
        <v>14</v>
      </c>
      <c r="B25" s="188">
        <f>MEDIAN(input!G52)</f>
        <v>4.79</v>
      </c>
      <c r="C25" s="57"/>
      <c r="D25" s="38"/>
      <c r="E25" s="33"/>
      <c r="F25" s="33" t="s">
        <v>96</v>
      </c>
      <c r="G25" s="117"/>
      <c r="H25" s="77"/>
      <c r="I25" s="33"/>
      <c r="J25" s="33"/>
      <c r="K25" s="38">
        <v>1</v>
      </c>
      <c r="L25" s="156"/>
      <c r="M25" s="156"/>
      <c r="N25" s="156"/>
      <c r="O25" s="85">
        <f t="shared" si="1"/>
        <v>0</v>
      </c>
      <c r="P25" s="131"/>
    </row>
    <row r="26" spans="1:17" s="102" customFormat="1" ht="38.25">
      <c r="A26" s="100" t="s">
        <v>153</v>
      </c>
      <c r="B26" s="143"/>
      <c r="C26" s="180">
        <f>(B25-B24)/MIN(B24,B25)</f>
        <v>1.6759776536312849</v>
      </c>
      <c r="D26" s="44"/>
      <c r="E26" s="32"/>
      <c r="F26" s="33" t="s">
        <v>96</v>
      </c>
      <c r="G26" s="165"/>
      <c r="H26" s="177"/>
      <c r="I26" s="9"/>
      <c r="J26" s="9"/>
      <c r="K26" s="38">
        <v>1</v>
      </c>
      <c r="L26" s="156" t="s">
        <v>91</v>
      </c>
      <c r="M26" s="156" t="s">
        <v>117</v>
      </c>
      <c r="N26" s="156" t="s">
        <v>91</v>
      </c>
      <c r="O26" s="85">
        <f>IF(AND(C26&gt;=0.5,C26&lt;1.5),0,1)</f>
        <v>1</v>
      </c>
      <c r="P26" s="134" t="str">
        <f>"If over 150% encourage artistic talents.  Release traumatic stress by increasing the percentage change in Alpha Eyes Open to Eyes Closed at O1 from " &amp; TEXT(C26,"00.00%") &amp; " to greater than 50%."</f>
        <v>If over 150% encourage artistic talents.  Release traumatic stress by increasing the percentage change in Alpha Eyes Open to Eyes Closed at O1 from 167.60% to greater than 50%.</v>
      </c>
    </row>
    <row r="27" spans="1:17" s="102" customFormat="1">
      <c r="A27" s="100" t="s">
        <v>15</v>
      </c>
      <c r="B27" s="188">
        <f>input!G56</f>
        <v>2.2999999999999998</v>
      </c>
      <c r="C27" s="57"/>
      <c r="D27" s="38"/>
      <c r="E27" s="33"/>
      <c r="F27" s="33" t="s">
        <v>96</v>
      </c>
      <c r="G27" s="117"/>
      <c r="H27" s="77"/>
      <c r="I27" s="33"/>
      <c r="J27" s="33"/>
      <c r="K27" s="38">
        <v>1</v>
      </c>
      <c r="L27" s="156"/>
      <c r="M27" s="156"/>
      <c r="N27" s="156"/>
      <c r="O27" s="85">
        <f t="shared" si="1"/>
        <v>0</v>
      </c>
      <c r="P27" s="131"/>
    </row>
    <row r="28" spans="1:17" s="102" customFormat="1" ht="25.5">
      <c r="A28" s="195" t="s">
        <v>121</v>
      </c>
      <c r="B28" s="65"/>
      <c r="C28" s="178">
        <f>(B27-B24)/MIN(B24,B27)</f>
        <v>0.2849162011173183</v>
      </c>
      <c r="D28" s="39"/>
      <c r="E28" s="33"/>
      <c r="F28" s="33" t="s">
        <v>96</v>
      </c>
      <c r="G28" s="117" t="s">
        <v>35</v>
      </c>
      <c r="H28" s="78">
        <v>0.25</v>
      </c>
      <c r="I28" s="9">
        <v>0.25</v>
      </c>
      <c r="J28" s="9">
        <v>0.25</v>
      </c>
      <c r="K28" s="38">
        <v>1</v>
      </c>
      <c r="L28" s="156" t="s">
        <v>85</v>
      </c>
      <c r="M28" s="156" t="s">
        <v>85</v>
      </c>
      <c r="N28" s="156" t="s">
        <v>85</v>
      </c>
      <c r="O28" s="85">
        <f t="shared" si="1"/>
        <v>1</v>
      </c>
      <c r="P28" s="134" t="str">
        <f>"Improve thinking precision by boosting the percent change EO Alpha to EO Alpha after EC from " &amp; TEXT(C28,"00.00%")  &amp; " to &lt; 25% at O1."</f>
        <v>Improve thinking precision by boosting the percent change EO Alpha to EO Alpha after EC from 28.49% to &lt; 25% at O1.</v>
      </c>
    </row>
    <row r="29" spans="1:17" s="102" customFormat="1">
      <c r="A29" s="100" t="s">
        <v>5</v>
      </c>
      <c r="B29" s="188">
        <f>MEDIAN(input!F44,input!F48)</f>
        <v>2.52</v>
      </c>
      <c r="C29" s="60"/>
      <c r="D29" s="46"/>
      <c r="E29" s="32"/>
      <c r="F29" s="33" t="s">
        <v>96</v>
      </c>
      <c r="G29" s="117"/>
      <c r="H29" s="77"/>
      <c r="I29" s="33"/>
      <c r="J29" s="33"/>
      <c r="K29" s="38">
        <v>1</v>
      </c>
      <c r="L29" s="156"/>
      <c r="M29" s="156"/>
      <c r="N29" s="156"/>
      <c r="O29" s="85">
        <f t="shared" si="1"/>
        <v>0</v>
      </c>
      <c r="P29" s="134"/>
    </row>
    <row r="30" spans="1:17" s="102" customFormat="1">
      <c r="A30" s="100" t="s">
        <v>6</v>
      </c>
      <c r="B30" s="188">
        <f>MEDIAN(input!K44,input!K48)</f>
        <v>2.73</v>
      </c>
      <c r="C30" s="60"/>
      <c r="D30" s="46"/>
      <c r="E30" s="32"/>
      <c r="F30" s="33" t="s">
        <v>96</v>
      </c>
      <c r="G30" s="117"/>
      <c r="H30" s="77"/>
      <c r="I30" s="33"/>
      <c r="J30" s="33"/>
      <c r="K30" s="38">
        <v>1</v>
      </c>
      <c r="L30" s="156"/>
      <c r="M30" s="156"/>
      <c r="N30" s="156"/>
      <c r="O30" s="85">
        <f t="shared" si="1"/>
        <v>0</v>
      </c>
      <c r="P30" s="134"/>
    </row>
    <row r="31" spans="1:17" s="102" customFormat="1" ht="63.75">
      <c r="A31" s="100" t="s">
        <v>16</v>
      </c>
      <c r="B31" s="4">
        <f>IF(ISERROR(B29/B30),"N/A",B29/B30)</f>
        <v>0.92307692307692313</v>
      </c>
      <c r="C31" s="57"/>
      <c r="D31" s="38"/>
      <c r="E31" s="63"/>
      <c r="F31" s="33" t="s">
        <v>96</v>
      </c>
      <c r="G31" s="165"/>
      <c r="H31" s="166"/>
      <c r="I31" s="33"/>
      <c r="J31" s="33"/>
      <c r="K31" s="38">
        <v>1</v>
      </c>
      <c r="L31" s="156" t="s">
        <v>90</v>
      </c>
      <c r="M31" s="156" t="s">
        <v>90</v>
      </c>
      <c r="N31" s="156" t="s">
        <v>90</v>
      </c>
      <c r="O31" s="85">
        <f>IF(AND(B31&gt;=1.8,B31&lt;=2.2),0,1)</f>
        <v>1</v>
      </c>
      <c r="P31" s="134" t="str">
        <f>"Increase O1 Theta/Beta Eyes Open from " &amp; TEXT(B31,"00.00") &amp; " to between 1.8 - 2.2 to address poor stress tolerance, racing thoughts, anxiety, inefficient self-quieting and a predisposition to self-medicating behaviors, anxiety and stress precipitated depression." &amp; " Address cognitive deficiencies or Asperger's patterns by reducing O1 Theta/Beta Eyes Open to between 1.8 and 2.2.   Examine F4/F3 Beta for training opportunities. "</f>
        <v xml:space="preserve">Increase O1 Theta/Beta Eyes Open from 00.92 to between 1.8 - 2.2 to address poor stress tolerance, racing thoughts, anxiety, inefficient self-quieting and a predisposition to self-medicating behaviors, anxiety and stress precipitated depression. Address cognitive deficiencies or Asperger's patterns by reducing O1 Theta/Beta Eyes Open to between 1.8 and 2.2.   Examine F4/F3 Beta for training opportunities. </v>
      </c>
    </row>
    <row r="32" spans="1:17" s="102" customFormat="1">
      <c r="A32" s="100" t="s">
        <v>17</v>
      </c>
      <c r="B32" s="188">
        <f>input!F52</f>
        <v>4.66</v>
      </c>
      <c r="C32" s="57"/>
      <c r="D32" s="38"/>
      <c r="E32" s="32"/>
      <c r="F32" s="33" t="s">
        <v>96</v>
      </c>
      <c r="G32" s="117"/>
      <c r="H32" s="77"/>
      <c r="I32" s="33"/>
      <c r="J32" s="33"/>
      <c r="K32" s="38">
        <v>1</v>
      </c>
      <c r="L32" s="156"/>
      <c r="M32" s="156"/>
      <c r="N32" s="158"/>
      <c r="O32" s="85">
        <f t="shared" si="1"/>
        <v>0</v>
      </c>
      <c r="P32" s="134"/>
    </row>
    <row r="33" spans="1:16" s="102" customFormat="1">
      <c r="A33" s="100" t="s">
        <v>18</v>
      </c>
      <c r="B33" s="188">
        <f>input!K52</f>
        <v>5.73</v>
      </c>
      <c r="C33" s="57"/>
      <c r="D33" s="38"/>
      <c r="E33" s="32"/>
      <c r="F33" s="33" t="s">
        <v>96</v>
      </c>
      <c r="G33" s="117"/>
      <c r="H33" s="77"/>
      <c r="I33" s="33"/>
      <c r="J33" s="33"/>
      <c r="K33" s="38">
        <v>1</v>
      </c>
      <c r="L33" s="156"/>
      <c r="M33" s="156"/>
      <c r="N33" s="156"/>
      <c r="O33" s="85">
        <f t="shared" si="1"/>
        <v>0</v>
      </c>
      <c r="P33" s="134"/>
    </row>
    <row r="34" spans="1:16" s="102" customFormat="1" ht="25.5">
      <c r="A34" s="100" t="s">
        <v>19</v>
      </c>
      <c r="B34" s="181">
        <f>IF(ISERROR(B32/B33),"N/A",B32/B33)</f>
        <v>0.81326352530541013</v>
      </c>
      <c r="C34" s="58"/>
      <c r="D34" s="38"/>
      <c r="E34" s="33"/>
      <c r="F34" s="33" t="s">
        <v>96</v>
      </c>
      <c r="G34" s="165"/>
      <c r="H34" s="166"/>
      <c r="I34" s="33"/>
      <c r="J34" s="33"/>
      <c r="K34" s="38">
        <v>1</v>
      </c>
      <c r="L34" s="156" t="s">
        <v>72</v>
      </c>
      <c r="M34" s="156" t="s">
        <v>72</v>
      </c>
      <c r="N34" s="156" t="s">
        <v>72</v>
      </c>
      <c r="O34" s="85">
        <f>IF(AND(B34&gt;=1.8,B34&lt;=2.2),0,1)</f>
        <v>1</v>
      </c>
      <c r="P34" s="134" t="str">
        <f>"Calm sleep disturbance by balancing Eyes Closed and Eyes Open Theta/Beta ratio at O1 from " &amp; TEXT(B34,"00.00") &amp; " up to 1.5.  Consider Theta/Beta EO at O1."</f>
        <v>Calm sleep disturbance by balancing Eyes Closed and Eyes Open Theta/Beta ratio at O1 from 00.81 up to 1.5.  Consider Theta/Beta EO at O1.</v>
      </c>
    </row>
    <row r="35" spans="1:16" s="102" customFormat="1" ht="25.5">
      <c r="A35" s="98" t="s">
        <v>116</v>
      </c>
      <c r="B35" s="144"/>
      <c r="C35" s="180">
        <f>(B34-B31)/MIN(B31,B34)</f>
        <v>-0.13502806206668874</v>
      </c>
      <c r="D35" s="44"/>
      <c r="E35" s="32"/>
      <c r="F35" s="33" t="s">
        <v>96</v>
      </c>
      <c r="G35" s="117" t="s">
        <v>34</v>
      </c>
      <c r="H35" s="78">
        <v>-0.25</v>
      </c>
      <c r="I35" s="9">
        <v>-0.25</v>
      </c>
      <c r="J35" s="9">
        <v>0</v>
      </c>
      <c r="K35" s="38">
        <v>1</v>
      </c>
      <c r="L35" s="156" t="s">
        <v>92</v>
      </c>
      <c r="M35" s="156" t="s">
        <v>125</v>
      </c>
      <c r="N35" s="156" t="s">
        <v>92</v>
      </c>
      <c r="O35" s="85">
        <f t="shared" si="1"/>
        <v>0</v>
      </c>
      <c r="P35" s="134" t="str">
        <f>"Reduce time to sleep onset by increasing percentage change Eyes Open to Eyes Closed Theta/Beta ratio at O1 from " &amp; TEXT(C35,"00.00%") &amp; "  to .25%."</f>
        <v>Reduce time to sleep onset by increasing percentage change Eyes Open to Eyes Closed Theta/Beta ratio at O1 from -13.50%  to .25%.</v>
      </c>
    </row>
    <row r="36" spans="1:16" s="102" customFormat="1" ht="25.5">
      <c r="A36" s="100" t="s">
        <v>150</v>
      </c>
      <c r="B36" s="182">
        <f>input!G55</f>
        <v>10.35</v>
      </c>
      <c r="C36" s="59"/>
      <c r="D36" s="40"/>
      <c r="E36" s="32"/>
      <c r="F36" s="33" t="s">
        <v>96</v>
      </c>
      <c r="G36" s="117" t="s">
        <v>34</v>
      </c>
      <c r="H36" s="77">
        <v>9.5</v>
      </c>
      <c r="I36" s="33">
        <v>9.5</v>
      </c>
      <c r="J36" s="33"/>
      <c r="K36" s="38">
        <v>1</v>
      </c>
      <c r="L36" s="156" t="s">
        <v>73</v>
      </c>
      <c r="M36" s="156" t="s">
        <v>73</v>
      </c>
      <c r="N36" s="156" t="s">
        <v>73</v>
      </c>
      <c r="O36" s="85">
        <f t="shared" si="1"/>
        <v>0</v>
      </c>
      <c r="P36" s="134" t="str">
        <f>"Train up Peak Alpha Frequency Eyes Open at O1 from " &amp; TEXT(B36,"00.00") &amp; " toward 10 or above to improve mental agility."</f>
        <v>Train up Peak Alpha Frequency Eyes Open at O1 from 10.35 toward 10 or above to improve mental agility.</v>
      </c>
    </row>
    <row r="37" spans="1:16" s="102" customFormat="1" ht="26.25" thickBot="1">
      <c r="A37" s="100" t="s">
        <v>151</v>
      </c>
      <c r="B37" s="182">
        <f>MEDIAN(input!G47,input!G51,input!G59)</f>
        <v>10.78</v>
      </c>
      <c r="C37" s="60"/>
      <c r="D37" s="46"/>
      <c r="E37" s="32"/>
      <c r="F37" s="33" t="s">
        <v>96</v>
      </c>
      <c r="G37" s="118" t="s">
        <v>34</v>
      </c>
      <c r="H37" s="81">
        <v>9.5</v>
      </c>
      <c r="I37" s="33">
        <v>9.5</v>
      </c>
      <c r="J37" s="33"/>
      <c r="K37" s="38">
        <v>1</v>
      </c>
      <c r="L37" s="156" t="s">
        <v>73</v>
      </c>
      <c r="M37" s="156" t="s">
        <v>73</v>
      </c>
      <c r="N37" s="156" t="s">
        <v>73</v>
      </c>
      <c r="O37" s="86">
        <f t="shared" si="1"/>
        <v>0</v>
      </c>
      <c r="P37" s="134" t="str">
        <f>"Train up Peak Alpha Frequency Eyes Closed at O1 from " &amp; TEXT(B37,"00.00") &amp; " toward 10 or above to improve mental agility."</f>
        <v>Train up Peak Alpha Frequency Eyes Closed at O1 from 10.78 toward 10 or above to improve mental agility.</v>
      </c>
    </row>
    <row r="38" spans="1:16" s="102" customFormat="1">
      <c r="A38" s="103"/>
      <c r="B38" s="145"/>
      <c r="C38" s="105"/>
      <c r="D38" s="106"/>
      <c r="E38" s="32"/>
      <c r="F38" s="32"/>
      <c r="G38" s="33"/>
      <c r="H38" s="33"/>
      <c r="I38" s="33"/>
      <c r="J38" s="33"/>
      <c r="K38" s="38">
        <v>1</v>
      </c>
      <c r="L38" s="159"/>
      <c r="M38" s="159"/>
      <c r="N38" s="159"/>
      <c r="P38" s="136"/>
    </row>
    <row r="39" spans="1:16" ht="18">
      <c r="A39" s="91" t="s">
        <v>29</v>
      </c>
      <c r="B39" s="74" t="s">
        <v>31</v>
      </c>
      <c r="C39" s="23"/>
      <c r="D39" s="42"/>
      <c r="E39" s="24"/>
      <c r="F39" s="24"/>
      <c r="G39" s="24"/>
      <c r="H39" s="24"/>
      <c r="I39" s="24"/>
      <c r="J39" s="24"/>
      <c r="K39" s="38">
        <v>1</v>
      </c>
      <c r="M39" s="159"/>
    </row>
    <row r="40" spans="1:16">
      <c r="A40" s="100" t="s">
        <v>17</v>
      </c>
      <c r="B40" s="189">
        <f>MEDIAN(input!F60,input!F64,input!F68)</f>
        <v>4.6399999999999997</v>
      </c>
      <c r="C40" s="68"/>
      <c r="D40" s="47"/>
      <c r="E40" s="24"/>
      <c r="F40" s="24" t="s">
        <v>96</v>
      </c>
      <c r="G40" s="24"/>
      <c r="H40" s="24"/>
      <c r="I40" s="24"/>
      <c r="J40" s="24"/>
      <c r="K40" s="38">
        <v>1</v>
      </c>
      <c r="L40" s="151"/>
      <c r="M40" s="159"/>
    </row>
    <row r="41" spans="1:16">
      <c r="A41" s="100" t="s">
        <v>18</v>
      </c>
      <c r="B41" s="189">
        <f>MEDIAN(input!K60,input!K64,input!K68)</f>
        <v>3.85</v>
      </c>
      <c r="C41" s="68"/>
      <c r="D41" s="47"/>
      <c r="E41" s="24"/>
      <c r="F41" s="24" t="s">
        <v>96</v>
      </c>
      <c r="G41" s="24"/>
      <c r="H41" s="24"/>
      <c r="I41" s="24"/>
      <c r="J41" s="24"/>
      <c r="K41" s="38">
        <v>1</v>
      </c>
      <c r="L41" s="151"/>
      <c r="M41" s="159"/>
    </row>
    <row r="42" spans="1:16">
      <c r="A42" s="100" t="s">
        <v>112</v>
      </c>
      <c r="B42" s="181">
        <f>IF(ISERROR(B40/B41),"N/A",B40/B41)</f>
        <v>1.2051948051948052</v>
      </c>
      <c r="C42" s="68"/>
      <c r="D42" s="47"/>
      <c r="E42" s="70"/>
      <c r="F42" s="24" t="s">
        <v>96</v>
      </c>
      <c r="G42" s="9"/>
      <c r="H42" s="9"/>
      <c r="I42" s="9"/>
      <c r="J42" s="9"/>
      <c r="K42" s="38">
        <v>1</v>
      </c>
      <c r="L42" s="151"/>
      <c r="M42" s="159"/>
    </row>
    <row r="43" spans="1:16" s="6" customFormat="1">
      <c r="A43" s="100"/>
      <c r="B43" s="64"/>
      <c r="C43" s="69"/>
      <c r="D43" s="48"/>
      <c r="E43" s="9"/>
      <c r="F43" s="24" t="s">
        <v>96</v>
      </c>
      <c r="G43" s="9"/>
      <c r="H43" s="9"/>
      <c r="I43" s="9"/>
      <c r="J43" s="9"/>
      <c r="K43" s="38">
        <v>1</v>
      </c>
      <c r="L43" s="151"/>
      <c r="M43" s="159"/>
      <c r="N43" s="160"/>
      <c r="P43" s="137"/>
    </row>
    <row r="44" spans="1:16">
      <c r="A44" s="100" t="s">
        <v>17</v>
      </c>
      <c r="B44" s="188">
        <f>MEDIAN(input!F60,input!F64,input!F68)</f>
        <v>4.6399999999999997</v>
      </c>
      <c r="C44" s="68"/>
      <c r="D44" s="47"/>
      <c r="E44" s="9"/>
      <c r="F44" s="24" t="s">
        <v>96</v>
      </c>
      <c r="G44" s="9"/>
      <c r="H44" s="9"/>
      <c r="I44" s="9"/>
      <c r="J44" s="9"/>
      <c r="K44" s="38">
        <v>1</v>
      </c>
      <c r="L44" s="151"/>
      <c r="M44" s="159"/>
    </row>
    <row r="45" spans="1:16">
      <c r="A45" s="100" t="s">
        <v>22</v>
      </c>
      <c r="B45" s="189">
        <f>MEDIAN(input!G60,input!G64,input!G68)</f>
        <v>2.99</v>
      </c>
      <c r="C45" s="68"/>
      <c r="D45" s="47"/>
      <c r="E45" s="9"/>
      <c r="F45" s="24" t="s">
        <v>96</v>
      </c>
      <c r="G45" s="9"/>
      <c r="H45" s="9"/>
      <c r="I45" s="9"/>
      <c r="J45" s="9"/>
      <c r="K45" s="38">
        <v>1</v>
      </c>
      <c r="L45" s="151"/>
      <c r="M45" s="159"/>
    </row>
    <row r="46" spans="1:16">
      <c r="A46" s="100" t="s">
        <v>154</v>
      </c>
      <c r="B46" s="181">
        <f>B44/B45</f>
        <v>1.551839464882943</v>
      </c>
      <c r="C46" s="57"/>
      <c r="D46" s="38"/>
      <c r="E46" s="70"/>
      <c r="F46" s="24" t="s">
        <v>96</v>
      </c>
      <c r="G46" s="9"/>
      <c r="H46" s="9"/>
      <c r="I46" s="9"/>
      <c r="J46" s="9"/>
      <c r="K46" s="38">
        <v>1</v>
      </c>
      <c r="L46" s="151"/>
      <c r="M46" s="159"/>
    </row>
    <row r="47" spans="1:16">
      <c r="A47" s="100" t="s">
        <v>111</v>
      </c>
      <c r="B47" s="181">
        <f>B40+B41+B45</f>
        <v>11.48</v>
      </c>
      <c r="C47" s="57"/>
      <c r="D47" s="38"/>
      <c r="E47" s="9"/>
      <c r="F47" s="24" t="s">
        <v>96</v>
      </c>
      <c r="G47" s="9"/>
      <c r="H47" s="9"/>
      <c r="I47" s="9"/>
      <c r="J47" s="9"/>
      <c r="K47" s="38">
        <v>1</v>
      </c>
      <c r="L47" s="151"/>
      <c r="M47" s="159"/>
      <c r="O47" s="197"/>
    </row>
    <row r="48" spans="1:16">
      <c r="A48" s="100"/>
      <c r="B48" s="64"/>
      <c r="C48" s="57"/>
      <c r="D48" s="38"/>
      <c r="E48" s="8"/>
      <c r="F48" s="24" t="s">
        <v>96</v>
      </c>
      <c r="G48" s="8"/>
      <c r="H48" s="8"/>
      <c r="I48" s="8"/>
      <c r="J48" s="8"/>
      <c r="K48" s="38">
        <v>1</v>
      </c>
      <c r="L48" s="151"/>
      <c r="M48" s="159"/>
      <c r="N48" s="160" t="s">
        <v>41</v>
      </c>
    </row>
    <row r="49" spans="1:16">
      <c r="A49" s="107"/>
      <c r="B49" s="64"/>
      <c r="C49" s="57"/>
      <c r="D49" s="38"/>
      <c r="E49" s="8"/>
      <c r="F49" s="24" t="s">
        <v>96</v>
      </c>
      <c r="G49" s="8"/>
      <c r="H49" s="8"/>
      <c r="I49" s="8"/>
      <c r="J49" s="8"/>
      <c r="K49" s="38">
        <v>1</v>
      </c>
      <c r="L49" s="151"/>
      <c r="M49" s="159"/>
    </row>
    <row r="50" spans="1:16">
      <c r="A50" s="100"/>
      <c r="B50" s="64"/>
      <c r="C50" s="57"/>
      <c r="D50" s="38"/>
      <c r="E50" s="8"/>
      <c r="F50" s="24" t="s">
        <v>96</v>
      </c>
      <c r="G50" s="8"/>
      <c r="H50" s="8"/>
      <c r="I50" s="8"/>
      <c r="J50" s="8"/>
      <c r="K50" s="38">
        <v>1</v>
      </c>
      <c r="M50" s="159"/>
    </row>
    <row r="51" spans="1:16">
      <c r="A51" s="103"/>
      <c r="B51" s="7"/>
      <c r="C51" s="4"/>
      <c r="D51" s="38"/>
      <c r="E51" s="8"/>
      <c r="F51" s="8"/>
      <c r="G51" s="8"/>
      <c r="H51" s="8"/>
      <c r="I51" s="8"/>
      <c r="J51" s="8"/>
      <c r="K51" s="38">
        <v>1</v>
      </c>
      <c r="M51" s="159"/>
    </row>
    <row r="52" spans="1:16" ht="18.75" thickBot="1">
      <c r="A52" s="91" t="s">
        <v>30</v>
      </c>
      <c r="B52" s="75" t="s">
        <v>39</v>
      </c>
      <c r="C52" s="75" t="s">
        <v>21</v>
      </c>
      <c r="D52" s="42"/>
      <c r="E52" s="24"/>
      <c r="F52" s="24"/>
      <c r="G52" s="24"/>
      <c r="H52" s="24"/>
      <c r="I52" s="24"/>
      <c r="J52" s="24"/>
      <c r="K52" s="38">
        <v>1</v>
      </c>
      <c r="M52" s="159"/>
    </row>
    <row r="53" spans="1:16">
      <c r="A53" s="100" t="s">
        <v>17</v>
      </c>
      <c r="B53" s="189">
        <f>MEDIAN(input!F72,input!F76,input!F80)</f>
        <v>6.08</v>
      </c>
      <c r="C53" s="68"/>
      <c r="D53" s="42"/>
      <c r="E53" s="24"/>
      <c r="F53" s="24" t="s">
        <v>96</v>
      </c>
      <c r="G53" s="119"/>
      <c r="H53" s="79"/>
      <c r="I53" s="72"/>
      <c r="J53" s="72"/>
      <c r="K53" s="38">
        <v>1</v>
      </c>
      <c r="L53" s="151"/>
      <c r="M53" s="151"/>
      <c r="N53" s="151"/>
      <c r="O53" s="84">
        <f>IF(G53="",0,IF(AND(G53="Lower",B53+C53&lt;H53),1,IF(AND(G53="Greater",B53+C53&gt;=H53),1,0)))</f>
        <v>0</v>
      </c>
      <c r="P53" s="138"/>
    </row>
    <row r="54" spans="1:16">
      <c r="A54" s="100" t="s">
        <v>18</v>
      </c>
      <c r="B54" s="189">
        <f>MEDIAN(input!K72,input!K76,input!K80)</f>
        <v>4.47</v>
      </c>
      <c r="C54" s="68"/>
      <c r="D54" s="42"/>
      <c r="E54" s="24"/>
      <c r="F54" s="24" t="s">
        <v>96</v>
      </c>
      <c r="G54" s="117"/>
      <c r="H54" s="77"/>
      <c r="I54" s="72"/>
      <c r="J54" s="72"/>
      <c r="K54" s="38">
        <v>1</v>
      </c>
      <c r="L54" s="151"/>
      <c r="M54" s="151"/>
      <c r="N54" s="151"/>
      <c r="O54" s="85">
        <f t="shared" ref="O54:O58" si="2">IF(G54="",0,IF(AND(G54="Lower",B54+C54&lt;H54),1,IF(AND(G54="Greater",B54+C54&gt;=H54),1,0)))</f>
        <v>0</v>
      </c>
      <c r="P54" s="138"/>
    </row>
    <row r="55" spans="1:16" s="36" customFormat="1" ht="51">
      <c r="A55" s="100" t="s">
        <v>112</v>
      </c>
      <c r="B55" s="181">
        <f>IF(ISERROR(B53/B54),"N/A",B53/B54)</f>
        <v>1.3601789709172261</v>
      </c>
      <c r="C55" s="68"/>
      <c r="D55" s="39"/>
      <c r="E55" s="70"/>
      <c r="F55" s="24" t="s">
        <v>96</v>
      </c>
      <c r="G55" s="117" t="s">
        <v>35</v>
      </c>
      <c r="H55" s="80">
        <v>2.2000000000000002</v>
      </c>
      <c r="I55" s="71">
        <v>2.2000000000000002</v>
      </c>
      <c r="J55" s="71">
        <v>2.2000000000000002</v>
      </c>
      <c r="K55" s="38">
        <v>1</v>
      </c>
      <c r="L55" s="151" t="s">
        <v>80</v>
      </c>
      <c r="M55" s="151" t="s">
        <v>143</v>
      </c>
      <c r="N55" s="151" t="s">
        <v>80</v>
      </c>
      <c r="O55" s="85">
        <f t="shared" si="2"/>
        <v>0</v>
      </c>
      <c r="P55" s="139" t="str">
        <f>"Relieve cognitive deficiencies associated with retrieval  of information, impulse control, emotional volatility, etc. by lowering Theta/Beta ratio at either F3 or F4 or both from " &amp; TEXT(B55,"00.00") &amp; "  to &lt; 2.2."</f>
        <v>Relieve cognitive deficiencies associated with retrieval  of information, impulse control, emotional volatility, etc. by lowering Theta/Beta ratio at either F3 or F4 or both from 01.36  to &lt; 2.2.</v>
      </c>
    </row>
    <row r="56" spans="1:16" s="36" customFormat="1" ht="81.75" customHeight="1">
      <c r="A56" s="196" t="s">
        <v>155</v>
      </c>
      <c r="B56" s="67"/>
      <c r="C56" s="183">
        <f>(B55-B42)/MIN(B55,B42)</f>
        <v>0.12859677543778458</v>
      </c>
      <c r="D56" s="39"/>
      <c r="E56" s="115"/>
      <c r="F56" s="24" t="s">
        <v>96</v>
      </c>
      <c r="G56" s="117" t="s">
        <v>34</v>
      </c>
      <c r="H56" s="120">
        <v>-0.2</v>
      </c>
      <c r="I56" s="128"/>
      <c r="J56" s="128"/>
      <c r="K56" s="38">
        <v>1</v>
      </c>
      <c r="L56" s="151" t="s">
        <v>74</v>
      </c>
      <c r="M56" s="151" t="s">
        <v>74</v>
      </c>
      <c r="N56" s="151" t="s">
        <v>74</v>
      </c>
      <c r="O56" s="85">
        <f t="shared" si="2"/>
        <v>0</v>
      </c>
      <c r="P56" s="139" t="str">
        <f>"Decrease percentage difference between F3 Theta/Beta and F4 Theta/Beta Eyes Closed from " &amp; TEXT(C56,"00.00%") &amp; " to reduce emotional volatility, anger management problems, emotional impulse control.  Decrease percentage difference between F3 Theta/Beta and F4 Theta/Beta Eyes Closed from " &amp; TEXT(C56,"00.00%") &amp; " to expand emotional restrictions (very narrow emotional window) that seems to be a response to or effort to control emotional volatility."</f>
        <v>Decrease percentage difference between F3 Theta/Beta and F4 Theta/Beta Eyes Closed from 12.86% to reduce emotional volatility, anger management problems, emotional impulse control.  Decrease percentage difference between F3 Theta/Beta and F4 Theta/Beta Eyes Closed from 12.86% to expand emotional restrictions (very narrow emotional window) that seems to be a response to or effort to control emotional volatility.</v>
      </c>
    </row>
    <row r="57" spans="1:16" s="36" customFormat="1">
      <c r="A57" s="100" t="s">
        <v>17</v>
      </c>
      <c r="B57" s="189">
        <f>B53</f>
        <v>6.08</v>
      </c>
      <c r="C57" s="68"/>
      <c r="D57" s="39"/>
      <c r="E57" s="9"/>
      <c r="F57" s="24" t="s">
        <v>96</v>
      </c>
      <c r="G57" s="117"/>
      <c r="H57" s="78"/>
      <c r="I57" s="71"/>
      <c r="J57" s="71"/>
      <c r="K57" s="38">
        <v>1</v>
      </c>
      <c r="L57" s="151"/>
      <c r="M57" s="151"/>
      <c r="N57" s="151"/>
      <c r="O57" s="85">
        <f t="shared" si="2"/>
        <v>0</v>
      </c>
      <c r="P57" s="140"/>
    </row>
    <row r="58" spans="1:16" s="36" customFormat="1">
      <c r="A58" s="100" t="s">
        <v>22</v>
      </c>
      <c r="B58" s="189">
        <f>MEDIAN(input!G72,input!G76,input!G80)</f>
        <v>3.7</v>
      </c>
      <c r="C58" s="68"/>
      <c r="D58" s="39"/>
      <c r="E58" s="9"/>
      <c r="F58" s="24" t="s">
        <v>96</v>
      </c>
      <c r="G58" s="117"/>
      <c r="H58" s="78"/>
      <c r="I58" s="71"/>
      <c r="J58" s="71"/>
      <c r="K58" s="38">
        <v>1</v>
      </c>
      <c r="L58" s="151"/>
      <c r="M58" s="151"/>
      <c r="N58" s="151"/>
      <c r="O58" s="85">
        <f t="shared" si="2"/>
        <v>0</v>
      </c>
      <c r="P58" s="140"/>
    </row>
    <row r="59" spans="1:16" s="36" customFormat="1" ht="63" customHeight="1">
      <c r="A59" s="100" t="s">
        <v>154</v>
      </c>
      <c r="B59" s="184">
        <f>IF(ISERROR(B57/B58),"N/A",B57/B58)</f>
        <v>1.6432432432432431</v>
      </c>
      <c r="C59" s="68"/>
      <c r="D59" s="39"/>
      <c r="E59" s="70"/>
      <c r="F59" s="24" t="s">
        <v>96</v>
      </c>
      <c r="G59" s="165"/>
      <c r="H59" s="167"/>
      <c r="I59" s="71"/>
      <c r="J59" s="71"/>
      <c r="K59" s="38">
        <v>1</v>
      </c>
      <c r="L59" s="151" t="s">
        <v>75</v>
      </c>
      <c r="M59" s="151" t="s">
        <v>75</v>
      </c>
      <c r="N59" s="151" t="s">
        <v>75</v>
      </c>
      <c r="O59" s="85">
        <f>IF(AND(B59&gt;=1.2,B59&lt;=1.6),0,1)</f>
        <v>1</v>
      </c>
      <c r="P59" s="139" t="str">
        <f>"Train Alpha Eyes Closed at F4 from " &amp;  TEXT(B59,"00.00") &amp; " to between 1.2-1.6 to treat frontal Alpha ADD and improve organization, sequencing, sustained focus, planning, task completion, staying on task, and talkativeness." &amp;  " Train Alpha Eyes Closed F4 from " &amp; TEXT(B59,"00.00") &amp; " to between 1.2-1.6 to address fibromyalgia, chronic fatigue and sleep disturbance."</f>
        <v>Train Alpha Eyes Closed at F4 from 01.64 to between 1.2-1.6 to treat frontal Alpha ADD and improve organization, sequencing, sustained focus, planning, task completion, staying on task, and talkativeness. Train Alpha Eyes Closed F4 from 01.64 to between 1.2-1.6 to address fibromyalgia, chronic fatigue and sleep disturbance.</v>
      </c>
    </row>
    <row r="60" spans="1:16" s="36" customFormat="1" ht="69.75" customHeight="1">
      <c r="A60" s="100" t="s">
        <v>111</v>
      </c>
      <c r="B60" s="181">
        <f>B53+B54+B58</f>
        <v>14.25</v>
      </c>
      <c r="C60" s="68"/>
      <c r="D60" s="39"/>
      <c r="E60" s="9"/>
      <c r="F60" s="24" t="s">
        <v>96</v>
      </c>
      <c r="G60" s="165"/>
      <c r="H60" s="167"/>
      <c r="I60" s="71">
        <v>60</v>
      </c>
      <c r="J60" s="71">
        <v>60</v>
      </c>
      <c r="K60" s="38">
        <v>1</v>
      </c>
      <c r="L60" s="151" t="s">
        <v>76</v>
      </c>
      <c r="M60" s="151" t="s">
        <v>76</v>
      </c>
      <c r="N60" s="151" t="s">
        <v>76</v>
      </c>
      <c r="O60" s="85">
        <f>IF(OR(B60&gt;60,B47&gt;60),1,0)</f>
        <v>0</v>
      </c>
      <c r="P60" s="139" t="str">
        <f>"Decrease total amplitude in frontal lobe from " &amp; TEXT(B60,"00.00") &amp; " to under 60 to improve development delays, autism spectrum disorder.  Where appropriate reduce Theta at O1 and calm the anterior cigulate gyrus." &amp; " Decrease total amplitude in frontal lobe from " &amp; TEXT(B60,"00.00") &amp; " to under 60 for issues of memory or cognitive deficits in adults."</f>
        <v>Decrease total amplitude in frontal lobe from 14.25 to under 60 to improve development delays, autism spectrum disorder.  Where appropriate reduce Theta at O1 and calm the anterior cigulate gyrus. Decrease total amplitude in frontal lobe from 14.25 to under 60 for issues of memory or cognitive deficits in adults.</v>
      </c>
    </row>
    <row r="61" spans="1:16" s="36" customFormat="1" ht="51">
      <c r="A61" s="100" t="s">
        <v>135</v>
      </c>
      <c r="B61" s="185">
        <f>(B54-B41)/MIN(B54,B41)</f>
        <v>0.16103896103896095</v>
      </c>
      <c r="C61" s="68"/>
      <c r="D61" s="43"/>
      <c r="E61" s="25"/>
      <c r="F61" s="24" t="s">
        <v>96</v>
      </c>
      <c r="G61" s="165" t="s">
        <v>35</v>
      </c>
      <c r="H61" s="177">
        <v>0.15</v>
      </c>
      <c r="I61" s="25">
        <v>0.15</v>
      </c>
      <c r="J61" s="25">
        <v>0.15</v>
      </c>
      <c r="K61" s="38">
        <v>1</v>
      </c>
      <c r="L61" s="151" t="s">
        <v>86</v>
      </c>
      <c r="M61" s="151" t="s">
        <v>86</v>
      </c>
      <c r="N61" s="151" t="s">
        <v>86</v>
      </c>
      <c r="O61" s="85">
        <f>IF(ABS(B61)&gt;0.15,1,0)</f>
        <v>1</v>
      </c>
      <c r="P61" s="139"/>
    </row>
    <row r="62" spans="1:16" s="36" customFormat="1" ht="51">
      <c r="A62" s="100" t="s">
        <v>137</v>
      </c>
      <c r="B62" s="185">
        <f>(B58-B45)/MIN(B58,B45)</f>
        <v>0.23745819397993309</v>
      </c>
      <c r="C62" s="68"/>
      <c r="D62" s="43"/>
      <c r="E62" s="25"/>
      <c r="F62" s="24" t="s">
        <v>96</v>
      </c>
      <c r="G62" s="165" t="s">
        <v>35</v>
      </c>
      <c r="H62" s="177">
        <v>0.15</v>
      </c>
      <c r="I62" s="25">
        <v>0.15</v>
      </c>
      <c r="J62" s="25">
        <v>0.15</v>
      </c>
      <c r="K62" s="38">
        <v>1</v>
      </c>
      <c r="L62" s="151" t="s">
        <v>77</v>
      </c>
      <c r="M62" s="151" t="s">
        <v>162</v>
      </c>
      <c r="N62" s="151" t="s">
        <v>77</v>
      </c>
      <c r="O62" s="85">
        <f t="shared" ref="O62:O63" si="3">IF(ABS(B62)&gt;0.15,1,0)</f>
        <v>1</v>
      </c>
      <c r="P62" s="139" t="str">
        <f>"Relieve depression by training down ratio of F3 Alpha/F4 Alpha from " &amp; TEXT(B62,"00.00") &amp; "  to 15% or less. Treat oppositional, defiant and socially aggressive or socially indifferent behavior by uptraining the ratio of F4 Alpha/F3 Alpha from " &amp; TEXT(B62,"00.00") &amp; "."</f>
        <v>Relieve depression by training down ratio of F3 Alpha/F4 Alpha from 00.24  to 15% or less. Treat oppositional, defiant and socially aggressive or socially indifferent behavior by uptraining the ratio of F4 Alpha/F3 Alpha from 00.24.</v>
      </c>
    </row>
    <row r="63" spans="1:16" s="36" customFormat="1" ht="39" thickBot="1">
      <c r="A63" s="100" t="s">
        <v>136</v>
      </c>
      <c r="B63" s="185">
        <f>(B53-B40)/MIN(B40,B53)</f>
        <v>0.31034482758620702</v>
      </c>
      <c r="C63" s="68"/>
      <c r="D63" s="43"/>
      <c r="E63" s="25"/>
      <c r="F63" s="24" t="s">
        <v>96</v>
      </c>
      <c r="G63" s="275" t="s">
        <v>35</v>
      </c>
      <c r="H63" s="276">
        <v>0.15</v>
      </c>
      <c r="I63" s="25">
        <v>0.15</v>
      </c>
      <c r="J63" s="25">
        <v>0.15</v>
      </c>
      <c r="K63" s="38">
        <v>1</v>
      </c>
      <c r="L63" s="151" t="s">
        <v>78</v>
      </c>
      <c r="M63" s="151" t="s">
        <v>78</v>
      </c>
      <c r="N63" s="151" t="s">
        <v>78</v>
      </c>
      <c r="O63" s="85">
        <f t="shared" si="3"/>
        <v>1</v>
      </c>
      <c r="P63" s="139" t="str">
        <f>"Treat emotional volatility or restricted emotional range by balancing F4 Theta from " &amp; TEXT(B63,"00.00") &amp; " to within 15% or less of F3 Theta.   Treat depression by raising F3 Theta / F4 Theta up from " &amp; TEXT(B63,"00.00") &amp; "."</f>
        <v>Treat emotional volatility or restricted emotional range by balancing F4 Theta from 00.31 to within 15% or less of F3 Theta.   Treat depression by raising F3 Theta / F4 Theta up from 00.31.</v>
      </c>
    </row>
    <row r="64" spans="1:16" ht="15">
      <c r="A64" s="103"/>
      <c r="B64" s="7"/>
      <c r="C64" s="7"/>
      <c r="D64" s="38"/>
      <c r="E64" s="8"/>
      <c r="F64" s="8"/>
      <c r="G64" s="8"/>
      <c r="H64" s="8"/>
      <c r="I64" s="8"/>
      <c r="J64" s="8"/>
      <c r="K64" s="38">
        <v>1</v>
      </c>
      <c r="M64" s="159"/>
      <c r="N64" s="161"/>
      <c r="O64" s="108"/>
      <c r="P64" s="141"/>
    </row>
    <row r="65" spans="1:16" ht="18.75" thickBot="1">
      <c r="A65" s="91" t="s">
        <v>23</v>
      </c>
      <c r="B65" s="73" t="s">
        <v>1</v>
      </c>
      <c r="C65" s="22"/>
      <c r="D65" s="41"/>
      <c r="E65" s="33"/>
      <c r="F65" s="33"/>
      <c r="G65" s="33"/>
      <c r="H65" s="33"/>
      <c r="I65" s="33"/>
      <c r="J65" s="33"/>
      <c r="K65" s="38">
        <v>1</v>
      </c>
      <c r="M65" s="159"/>
      <c r="O65" s="108"/>
      <c r="P65" s="141"/>
    </row>
    <row r="66" spans="1:16" ht="51">
      <c r="A66" s="100" t="s">
        <v>113</v>
      </c>
      <c r="B66" s="179">
        <f>MEDIAN(input!E84,input!E88,input!E92,input!E96,input!E100,input!E104,input!E108,input!E112,input!E116,input!E120)</f>
        <v>5.7650000000000006</v>
      </c>
      <c r="C66" s="99"/>
      <c r="D66" s="109"/>
      <c r="E66" s="33"/>
      <c r="F66" s="33" t="s">
        <v>96</v>
      </c>
      <c r="G66" s="119" t="s">
        <v>35</v>
      </c>
      <c r="H66" s="79">
        <v>9</v>
      </c>
      <c r="I66" s="33">
        <v>9</v>
      </c>
      <c r="J66" s="33">
        <v>9</v>
      </c>
      <c r="K66" s="38">
        <v>1</v>
      </c>
      <c r="L66" s="151" t="s">
        <v>79</v>
      </c>
      <c r="M66" s="151" t="s">
        <v>102</v>
      </c>
      <c r="N66" s="151" t="s">
        <v>79</v>
      </c>
      <c r="O66" s="84">
        <f>IF(G66="",0,IF(AND(G66="Lower",B66+C66&lt;H66),1,IF(AND(G66="Greater",B66+C66&gt;=H66),1,0)))</f>
        <v>0</v>
      </c>
      <c r="P66" s="139" t="str">
        <f>"Train down Delta at FZ from " &amp; TEXT(B66,"00.00") &amp; " to below 9 to relieve cognitive deficits such as problems with concentration forgetfulness and comprehension.  Train down Delta at FZ from " &amp; TEXT(B66,"00.00") &amp; " to below 9 to ameliorate problems developmental delays and pain. "</f>
        <v xml:space="preserve">Train down Delta at FZ from 05.77 to below 9 to relieve cognitive deficits such as problems with concentration forgetfulness and comprehension.  Train down Delta at FZ from 05.77 to below 9 to ameliorate problems developmental delays and pain. </v>
      </c>
    </row>
    <row r="67" spans="1:16">
      <c r="A67" s="100" t="s">
        <v>24</v>
      </c>
      <c r="B67" s="179">
        <f>MEDIAN(input!L84,input!L88,input!L92,input!L96,input!L100,input!L104,input!L108,input!L112,input!L116,input!L120)</f>
        <v>1.0950000000000002</v>
      </c>
      <c r="C67" s="99"/>
      <c r="D67" s="109"/>
      <c r="E67" s="33"/>
      <c r="F67" s="33" t="s">
        <v>96</v>
      </c>
      <c r="G67" s="117"/>
      <c r="H67" s="77"/>
      <c r="I67" s="33"/>
      <c r="J67" s="33"/>
      <c r="K67" s="38">
        <v>1</v>
      </c>
      <c r="L67" s="151"/>
      <c r="M67" s="151"/>
      <c r="N67" s="151"/>
      <c r="O67" s="85">
        <f t="shared" ref="O67:O74" si="4">IF(G67="",0,IF(AND(G67="Lower",B67+C67&lt;H67),1,IF(AND(G67="Greater",B67+C67&gt;=H67),1,0)))</f>
        <v>0</v>
      </c>
      <c r="P67" s="138"/>
    </row>
    <row r="68" spans="1:16">
      <c r="A68" s="100" t="s">
        <v>25</v>
      </c>
      <c r="B68" s="190">
        <f>MEDIAN(input!K84,input!K88,input!K92,input!K96,input!K100,input!K104,input!K108,input!K112,input!K116,input!K120)</f>
        <v>4.6349999999999998</v>
      </c>
      <c r="C68" s="99"/>
      <c r="D68" s="109"/>
      <c r="E68" s="33"/>
      <c r="F68" s="33" t="s">
        <v>96</v>
      </c>
      <c r="G68" s="117"/>
      <c r="H68" s="77"/>
      <c r="I68" s="33"/>
      <c r="J68" s="33"/>
      <c r="K68" s="38">
        <v>1</v>
      </c>
      <c r="L68" s="151"/>
      <c r="M68" s="151"/>
      <c r="N68" s="151"/>
      <c r="O68" s="85">
        <f t="shared" si="4"/>
        <v>0</v>
      </c>
      <c r="P68" s="138"/>
    </row>
    <row r="69" spans="1:16" ht="102">
      <c r="A69" s="100" t="s">
        <v>26</v>
      </c>
      <c r="B69" s="186">
        <f>IF(ISERROR(B67/B68),"N/A",B67/B68)</f>
        <v>0.23624595469255669</v>
      </c>
      <c r="C69" s="99"/>
      <c r="D69" s="109"/>
      <c r="E69" s="33"/>
      <c r="F69" s="33" t="s">
        <v>96</v>
      </c>
      <c r="G69" s="165"/>
      <c r="H69" s="166"/>
      <c r="I69" s="33"/>
      <c r="J69" s="33"/>
      <c r="K69" s="38">
        <v>1</v>
      </c>
      <c r="L69" s="151" t="s">
        <v>93</v>
      </c>
      <c r="M69" s="151" t="s">
        <v>93</v>
      </c>
      <c r="N69" s="162" t="s">
        <v>93</v>
      </c>
      <c r="O69" s="85">
        <f>IF(AND(B69&gt;=0.45,B69&lt;=0.55),0,1)</f>
        <v>1</v>
      </c>
      <c r="P69" s="139" t="str">
        <f>"Train HiBeta/Beta ratio at FZ from " &amp; TEXT(B69,"00.00") &amp; " to between .45 - .55 in order to relieve passivity.  Train HiBeta/Beta ratio at FZ from " &amp; TEXT(B69,"00.00") &amp; " to between .45 - .55 in order to relieve stubborn behavior, OC tendencies or OCD, perseveration in autistic spectrum behaviors. Treat anxiety  by bringing HiBeta/Beta ratio at FZ from " &amp; TEXT(B69,"00.00") &amp; " to between .45 - .55.  Treat O/C behaviors by bring HiBeta/Beta ratio at FZ from " &amp; TEXT(B69,"00.00") &amp; " down to between .45 - .55”  Treat problematic passivity by training HiBeta/Beta ratio at FZ from " &amp; TEXT(B69,"00.00") &amp; " up toward .45."</f>
        <v>Train HiBeta/Beta ratio at FZ from 00.24 to between .45 - .55 in order to relieve passivity.  Train HiBeta/Beta ratio at FZ from 00.24 to between .45 - .55 in order to relieve stubborn behavior, OC tendencies or OCD, perseveration in autistic spectrum behaviors. Treat anxiety  by bringing HiBeta/Beta ratio at FZ from 00.24 to between .45 - .55.  Treat O/C behaviors by bring HiBeta/Beta ratio at FZ from 00.24 down to between .45 - .55”  Treat problematic passivity by training HiBeta/Beta ratio at FZ from 00.24 up toward .45.</v>
      </c>
    </row>
    <row r="70" spans="1:16" ht="76.5">
      <c r="A70" s="100" t="s">
        <v>105</v>
      </c>
      <c r="B70" s="186">
        <f>B67+B68</f>
        <v>5.73</v>
      </c>
      <c r="C70" s="99"/>
      <c r="D70" s="49"/>
      <c r="E70" s="33"/>
      <c r="F70" s="33" t="s">
        <v>96</v>
      </c>
      <c r="G70" s="117" t="s">
        <v>35</v>
      </c>
      <c r="H70" s="77">
        <v>15</v>
      </c>
      <c r="I70" s="33">
        <v>15</v>
      </c>
      <c r="J70" s="33">
        <v>15</v>
      </c>
      <c r="K70" s="38">
        <v>1</v>
      </c>
      <c r="L70" s="151" t="s">
        <v>94</v>
      </c>
      <c r="M70" s="151" t="s">
        <v>164</v>
      </c>
      <c r="N70" s="162" t="s">
        <v>94</v>
      </c>
      <c r="O70" s="85">
        <f t="shared" si="4"/>
        <v>0</v>
      </c>
      <c r="P70" s="139" t="str">
        <f>"Train down Sum of HiBeta + Beta at FZ from " &amp; TEXT(B70,"00.00") &amp;  " to below 15 to treat perseverative behavior.   Train down Sum of HiBeta + Beta at FZ from " &amp; TEXT(B70,"00.00") &amp;  " to relieve fretting and annoying thoughts.  If  " &amp; TEXT(B70,"00.00") &amp;  "  is &gt;16 train down hot midline anterior cigulate gyrus."</f>
        <v>Train down Sum of HiBeta + Beta at FZ from 05.73 to below 15 to treat perseverative behavior.   Train down Sum of HiBeta + Beta at FZ from 05.73 to relieve fretting and annoying thoughts.  If  05.73  is &gt;16 train down hot midline anterior cigulate gyrus.</v>
      </c>
    </row>
    <row r="71" spans="1:16">
      <c r="A71" s="100" t="s">
        <v>27</v>
      </c>
      <c r="B71" s="190">
        <f>MEDIAN(input!H84,input!H88,input!H92,input!H96,input!H100,input!H104,input!H108,input!H112,input!H116,input!H120)</f>
        <v>5.91</v>
      </c>
      <c r="C71" s="99"/>
      <c r="D71" s="109"/>
      <c r="E71" s="33"/>
      <c r="F71" s="33" t="s">
        <v>96</v>
      </c>
      <c r="G71" s="117"/>
      <c r="H71" s="77"/>
      <c r="I71" s="33"/>
      <c r="J71" s="33"/>
      <c r="K71" s="38">
        <v>1</v>
      </c>
      <c r="L71" s="151"/>
      <c r="M71" s="151"/>
      <c r="N71" s="151"/>
      <c r="O71" s="85">
        <f t="shared" si="4"/>
        <v>0</v>
      </c>
      <c r="P71" s="138"/>
    </row>
    <row r="72" spans="1:16">
      <c r="A72" s="100" t="s">
        <v>28</v>
      </c>
      <c r="B72" s="190">
        <f>MEDIAN(input!I84,input!I88,input!I92,input!I96,input!I100,input!I104,input!I108,input!I112,input!I116,input!I120)</f>
        <v>2.2749999999999999</v>
      </c>
      <c r="C72" s="99"/>
      <c r="D72" s="109"/>
      <c r="E72" s="33"/>
      <c r="F72" s="33" t="s">
        <v>96</v>
      </c>
      <c r="G72" s="117"/>
      <c r="H72" s="77"/>
      <c r="I72" s="33"/>
      <c r="J72" s="33"/>
      <c r="K72" s="38">
        <v>1</v>
      </c>
      <c r="L72" s="151"/>
      <c r="M72" s="151"/>
      <c r="N72" s="151"/>
      <c r="O72" s="85">
        <f t="shared" si="4"/>
        <v>0</v>
      </c>
      <c r="P72" s="138"/>
    </row>
    <row r="73" spans="1:16" ht="89.25">
      <c r="A73" s="100" t="s">
        <v>149</v>
      </c>
      <c r="B73" s="186">
        <f>IF(ISERROR(B71/B72),"N/A",B71/B72)</f>
        <v>2.5978021978021979</v>
      </c>
      <c r="C73" s="99"/>
      <c r="D73" s="109"/>
      <c r="E73" s="33"/>
      <c r="F73" s="33" t="s">
        <v>96</v>
      </c>
      <c r="G73" s="165"/>
      <c r="H73" s="166"/>
      <c r="I73" s="33"/>
      <c r="J73" s="33"/>
      <c r="K73" s="38">
        <v>1</v>
      </c>
      <c r="L73" s="151" t="s">
        <v>95</v>
      </c>
      <c r="M73" s="151" t="s">
        <v>163</v>
      </c>
      <c r="N73" s="162" t="s">
        <v>95</v>
      </c>
      <c r="O73" s="85">
        <f>IF(B73&lt;1.5,0,1)</f>
        <v>1</v>
      </c>
      <c r="P73" s="139" t="str">
        <f>"Lower ratio of LoAlpha/HiAlpha at FZ from " &amp; TEXT(B73,"00.00") &amp; " to below 1.5 to treat cognitive inefficiency, age related deficits in memory and cognitive processing and sleep disorders.  Lower ratio of LoAlpha/HiAlpha at FZ from " &amp; TEXT(B73,"00.00") &amp; " to below 1.5 to address developmental delays."</f>
        <v>Lower ratio of LoAlpha/HiAlpha at FZ from 02.60 to below 1.5 to treat cognitive inefficiency, age related deficits in memory and cognitive processing and sleep disorders.  Lower ratio of LoAlpha/HiAlpha at FZ from 02.60 to below 1.5 to address developmental delays.</v>
      </c>
    </row>
    <row r="74" spans="1:16" ht="16.5" customHeight="1" thickBot="1">
      <c r="A74" s="100" t="s">
        <v>11</v>
      </c>
      <c r="B74" s="190">
        <f>MEDIAN(input!G87,input!G91,input!G95,input!G99,input!G103,input!G107,input!G111,input!G115,input!G119,input!G123)</f>
        <v>10.55</v>
      </c>
      <c r="C74" s="99"/>
      <c r="D74" s="50"/>
      <c r="E74" s="33"/>
      <c r="F74" s="33" t="s">
        <v>96</v>
      </c>
      <c r="G74" s="118"/>
      <c r="H74" s="81"/>
      <c r="I74" s="33"/>
      <c r="J74" s="33"/>
      <c r="K74" s="38">
        <v>1</v>
      </c>
      <c r="L74" s="151"/>
      <c r="M74" s="151" t="s">
        <v>108</v>
      </c>
      <c r="N74" s="151"/>
      <c r="O74" s="86">
        <f t="shared" si="4"/>
        <v>0</v>
      </c>
      <c r="P74" s="138"/>
    </row>
    <row r="75" spans="1:16" ht="13.5" thickBot="1">
      <c r="A75" s="110"/>
      <c r="B75" s="146"/>
      <c r="C75" s="110"/>
      <c r="D75" s="104"/>
      <c r="E75" s="35"/>
      <c r="F75" s="35"/>
      <c r="G75" s="121"/>
      <c r="H75" s="121"/>
      <c r="I75" s="121"/>
      <c r="J75" s="121"/>
      <c r="K75" s="35"/>
    </row>
    <row r="76" spans="1:16">
      <c r="B76" s="147" t="s">
        <v>35</v>
      </c>
      <c r="C76" s="111"/>
      <c r="D76" s="111"/>
      <c r="E76" s="112"/>
      <c r="F76" s="112"/>
      <c r="G76" s="122"/>
      <c r="H76" s="122"/>
      <c r="I76" s="122"/>
      <c r="J76" s="122"/>
      <c r="K76" s="112"/>
    </row>
    <row r="77" spans="1:16">
      <c r="A77" s="113"/>
      <c r="B77" s="148" t="s">
        <v>34</v>
      </c>
      <c r="C77" s="111" t="s">
        <v>38</v>
      </c>
      <c r="D77" s="111"/>
      <c r="E77" s="112"/>
      <c r="F77" s="112"/>
      <c r="G77" s="123"/>
      <c r="H77" s="123"/>
      <c r="I77" s="123"/>
      <c r="J77" s="123"/>
      <c r="K77" s="114"/>
    </row>
    <row r="78" spans="1:16" ht="13.5" thickBot="1">
      <c r="A78" s="111"/>
      <c r="B78" s="149"/>
      <c r="C78" s="111"/>
      <c r="D78" s="111"/>
      <c r="E78" s="112"/>
      <c r="F78" s="112"/>
      <c r="G78" s="123"/>
      <c r="H78" s="123"/>
      <c r="I78" s="123"/>
      <c r="J78" s="123"/>
      <c r="K78" s="114"/>
    </row>
    <row r="79" spans="1:16" ht="15">
      <c r="A79" s="273" t="s">
        <v>141</v>
      </c>
      <c r="G79" s="124"/>
      <c r="H79" s="124"/>
      <c r="I79" s="129"/>
      <c r="J79" s="129"/>
      <c r="K79" s="54"/>
    </row>
    <row r="80" spans="1:16" ht="15.75">
      <c r="A80" s="274"/>
      <c r="G80" s="124"/>
      <c r="H80" s="124"/>
      <c r="I80" s="129"/>
      <c r="J80" s="129"/>
      <c r="K80" s="54"/>
      <c r="L80" s="163"/>
    </row>
    <row r="81" spans="1:11" ht="15.75">
      <c r="A81" s="274" t="s">
        <v>128</v>
      </c>
      <c r="G81" s="124"/>
      <c r="H81" s="124"/>
      <c r="I81" s="129"/>
      <c r="J81" s="129"/>
      <c r="K81" s="54"/>
    </row>
    <row r="82" spans="1:11" ht="15.75">
      <c r="A82" s="274" t="s">
        <v>138</v>
      </c>
      <c r="E82" s="89"/>
      <c r="F82" s="89"/>
      <c r="G82" s="125"/>
      <c r="H82" s="125"/>
      <c r="I82" s="125"/>
      <c r="J82" s="125"/>
      <c r="K82" s="89"/>
    </row>
    <row r="83" spans="1:11" ht="15.75">
      <c r="A83" s="274"/>
      <c r="E83" s="89"/>
    </row>
    <row r="84" spans="1:11" ht="15.75">
      <c r="A84" s="274" t="s">
        <v>139</v>
      </c>
      <c r="E84" s="89"/>
    </row>
    <row r="85" spans="1:11" ht="15.75">
      <c r="A85" s="274" t="s">
        <v>130</v>
      </c>
      <c r="E85" s="89"/>
    </row>
    <row r="86" spans="1:11" ht="15.75">
      <c r="A86" s="274" t="s">
        <v>129</v>
      </c>
      <c r="E86" s="89"/>
    </row>
    <row r="87" spans="1:11" ht="15.75">
      <c r="A87" s="274" t="s">
        <v>132</v>
      </c>
      <c r="E87" s="89"/>
    </row>
    <row r="88" spans="1:11" ht="15.75">
      <c r="A88" s="274" t="s">
        <v>131</v>
      </c>
    </row>
    <row r="89" spans="1:11" ht="15.75">
      <c r="A89" s="274" t="s">
        <v>147</v>
      </c>
    </row>
    <row r="90" spans="1:11" ht="15.75">
      <c r="A90" s="274" t="s">
        <v>133</v>
      </c>
    </row>
    <row r="91" spans="1:11" ht="15.75">
      <c r="A91" s="274" t="s">
        <v>134</v>
      </c>
    </row>
    <row r="92" spans="1:11" ht="15.75">
      <c r="A92" s="274" t="s">
        <v>142</v>
      </c>
    </row>
    <row r="93" spans="1:11" ht="15.75">
      <c r="A93" s="274" t="s">
        <v>140</v>
      </c>
    </row>
  </sheetData>
  <dataValidations count="1">
    <dataValidation type="list" allowBlank="1" showInputMessage="1" showErrorMessage="1" sqref="G2:G21 G66:G74 G53:G63 G23:G37">
      <formula1>choice</formula1>
    </dataValidation>
  </dataValidations>
  <pageMargins left="0.28999999999999998" right="0.28999999999999998" top="0.42" bottom="0.43" header="0.18" footer="0.3"/>
  <pageSetup scale="2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report</vt:lpstr>
      <vt:lpstr>input</vt:lpstr>
      <vt:lpstr>calc</vt:lpstr>
      <vt:lpstr>alpha</vt:lpstr>
      <vt:lpstr>choice</vt:lpstr>
      <vt:lpstr>eyes</vt:lpstr>
      <vt:lpstr>input!Print_Area</vt:lpstr>
      <vt:lpstr>probe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Gary Ames</cp:lastModifiedBy>
  <cp:lastPrinted>2012-10-19T16:58:10Z</cp:lastPrinted>
  <dcterms:created xsi:type="dcterms:W3CDTF">2010-10-14T17:52:54Z</dcterms:created>
  <dcterms:modified xsi:type="dcterms:W3CDTF">2012-11-16T22:24:38Z</dcterms:modified>
</cp:coreProperties>
</file>